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yar.ilipbayev\Desktop\Отчеты\ПСИГ 23г\Июнь\21.06.2023\"/>
    </mc:Choice>
  </mc:AlternateContent>
  <bookViews>
    <workbookView xWindow="0" yWindow="0" windowWidth="28800" windowHeight="12330" firstSheet="1" activeTab="3"/>
  </bookViews>
  <sheets>
    <sheet name="ПСИГ_2020" sheetId="1" r:id="rId1"/>
    <sheet name="ПСИГ_2021" sheetId="5" r:id="rId2"/>
    <sheet name="ПСИГ_2022" sheetId="12" r:id="rId3"/>
    <sheet name="ПСИГ_2023" sheetId="15" r:id="rId4"/>
    <sheet name="ИТОГО 20-21-22-23гг. " sheetId="6" r:id="rId5"/>
    <sheet name="Цель кредита " sheetId="4" r:id="rId6"/>
    <sheet name="Подписанные ДГ по отраслям" sheetId="3" r:id="rId7"/>
    <sheet name="Тип субьекта" sheetId="7" r:id="rId8"/>
    <sheet name="Потенциал" sheetId="14" r:id="rId9"/>
    <sheet name="Просрочка на 01.03.2023" sheetId="13" r:id="rId10"/>
  </sheets>
  <definedNames>
    <definedName name="_xlnm._FilterDatabase" localSheetId="6" hidden="1">'Подписанные ДГ по отраслям'!$B$3:$F$3</definedName>
    <definedName name="_xlnm.Print_Area" localSheetId="0">ПСИГ_2020!$A$1:$Q$21</definedName>
    <definedName name="_xlnm.Print_Area" localSheetId="5">'Цель кредита '!$A$1:$AF$43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5" l="1"/>
  <c r="H10" i="15" s="1"/>
  <c r="H5" i="15"/>
  <c r="H6" i="15"/>
  <c r="H7" i="15"/>
  <c r="H8" i="15"/>
  <c r="H9" i="15"/>
  <c r="H3" i="15"/>
  <c r="R5" i="15" l="1"/>
  <c r="P4" i="15"/>
  <c r="Q4" i="15" s="1"/>
  <c r="P5" i="15"/>
  <c r="Q5" i="15" s="1"/>
  <c r="P6" i="15"/>
  <c r="Q6" i="15" s="1"/>
  <c r="P7" i="15"/>
  <c r="Q7" i="15" s="1"/>
  <c r="P8" i="15"/>
  <c r="Q8" i="15" s="1"/>
  <c r="P9" i="15"/>
  <c r="Q9" i="15" s="1"/>
  <c r="P3" i="15"/>
  <c r="Q3" i="15" s="1"/>
  <c r="F10" i="15" l="1"/>
  <c r="I42" i="4" l="1"/>
  <c r="J42" i="4"/>
  <c r="E42" i="4" l="1"/>
  <c r="F42" i="4"/>
  <c r="R6" i="15" l="1"/>
  <c r="R3" i="15"/>
  <c r="O3" i="15"/>
  <c r="O5" i="15"/>
  <c r="O8" i="15" l="1"/>
  <c r="R8" i="15"/>
  <c r="O5" i="6" l="1"/>
  <c r="O7" i="15"/>
  <c r="R7" i="15"/>
  <c r="O9" i="15" l="1"/>
  <c r="O4" i="15"/>
  <c r="R9" i="15"/>
  <c r="O10" i="15" l="1"/>
  <c r="Q23" i="3"/>
  <c r="R4" i="15" l="1"/>
  <c r="N42" i="4" l="1"/>
  <c r="M42" i="4"/>
  <c r="K42" i="4"/>
  <c r="G42" i="4"/>
  <c r="C42" i="4"/>
  <c r="Q41" i="4"/>
  <c r="P41" i="4"/>
  <c r="O41" i="4"/>
  <c r="H41" i="4" s="1"/>
  <c r="Q40" i="4"/>
  <c r="P40" i="4"/>
  <c r="O40" i="4"/>
  <c r="H40" i="4" s="1"/>
  <c r="L40" i="4"/>
  <c r="Q39" i="4"/>
  <c r="P39" i="4"/>
  <c r="O39" i="4"/>
  <c r="L39" i="4" s="1"/>
  <c r="Q38" i="4"/>
  <c r="P38" i="4"/>
  <c r="O38" i="4"/>
  <c r="D38" i="4" s="1"/>
  <c r="Q37" i="4"/>
  <c r="P37" i="4"/>
  <c r="O37" i="4"/>
  <c r="L37" i="4" s="1"/>
  <c r="Q36" i="4"/>
  <c r="P36" i="4"/>
  <c r="O36" i="4"/>
  <c r="L36" i="4" s="1"/>
  <c r="H36" i="4"/>
  <c r="D36" i="4"/>
  <c r="Q35" i="4"/>
  <c r="P35" i="4"/>
  <c r="O35" i="4"/>
  <c r="L35" i="4" s="1"/>
  <c r="Q34" i="4"/>
  <c r="P34" i="4"/>
  <c r="O34" i="4"/>
  <c r="D34" i="4" s="1"/>
  <c r="N15" i="6"/>
  <c r="L15" i="6"/>
  <c r="M15" i="6"/>
  <c r="L40" i="6"/>
  <c r="M40" i="6"/>
  <c r="N40" i="6"/>
  <c r="K15" i="6"/>
  <c r="J15" i="6"/>
  <c r="I15" i="6"/>
  <c r="H15" i="6"/>
  <c r="G15" i="6"/>
  <c r="F15" i="6"/>
  <c r="E15" i="6"/>
  <c r="D15" i="6"/>
  <c r="C15" i="6"/>
  <c r="O3" i="6"/>
  <c r="O4" i="6"/>
  <c r="O6" i="6"/>
  <c r="O7" i="6"/>
  <c r="O8" i="6"/>
  <c r="O10" i="6"/>
  <c r="O11" i="6"/>
  <c r="O12" i="6"/>
  <c r="O13" i="6"/>
  <c r="O14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20" i="6"/>
  <c r="Q3" i="6"/>
  <c r="P4" i="6"/>
  <c r="P5" i="6"/>
  <c r="P6" i="6"/>
  <c r="P7" i="6"/>
  <c r="P8" i="6"/>
  <c r="P9" i="6"/>
  <c r="P10" i="6"/>
  <c r="P11" i="6"/>
  <c r="P12" i="6"/>
  <c r="P13" i="6"/>
  <c r="P14" i="6"/>
  <c r="P3" i="6"/>
  <c r="L41" i="4" l="1"/>
  <c r="Q42" i="4"/>
  <c r="O15" i="6"/>
  <c r="O40" i="6"/>
  <c r="H34" i="4"/>
  <c r="L34" i="4"/>
  <c r="P42" i="4"/>
  <c r="D37" i="4"/>
  <c r="H37" i="4"/>
  <c r="D41" i="4"/>
  <c r="H38" i="4"/>
  <c r="D40" i="4"/>
  <c r="L38" i="4"/>
  <c r="O42" i="4"/>
  <c r="H42" i="4" s="1"/>
  <c r="D35" i="4"/>
  <c r="D39" i="4"/>
  <c r="H35" i="4"/>
  <c r="H39" i="4"/>
  <c r="W23" i="15"/>
  <c r="V23" i="15"/>
  <c r="U23" i="15"/>
  <c r="N10" i="15"/>
  <c r="P10" i="15" s="1"/>
  <c r="Q10" i="15" s="1"/>
  <c r="M10" i="15"/>
  <c r="L10" i="15"/>
  <c r="E10" i="15"/>
  <c r="D10" i="15"/>
  <c r="C10" i="15"/>
  <c r="G3" i="15"/>
  <c r="R10" i="15" l="1"/>
  <c r="L42" i="4"/>
  <c r="D42" i="4"/>
  <c r="L32" i="13"/>
  <c r="J3" i="13"/>
  <c r="J14" i="13" l="1"/>
  <c r="J32" i="13"/>
  <c r="Y47" i="13"/>
  <c r="Y38" i="13"/>
  <c r="Y36" i="13"/>
  <c r="Y37" i="13"/>
  <c r="Y40" i="13"/>
  <c r="Y41" i="13"/>
  <c r="Y42" i="13"/>
  <c r="Y44" i="13"/>
  <c r="Y45" i="13"/>
  <c r="M15" i="13"/>
  <c r="N20" i="13" l="1"/>
  <c r="J4" i="13"/>
  <c r="J6" i="13"/>
  <c r="J7" i="13"/>
  <c r="J8" i="13"/>
  <c r="J10" i="13"/>
  <c r="J11" i="13"/>
  <c r="R11" i="13" s="1"/>
  <c r="J12" i="13"/>
  <c r="J13" i="13"/>
  <c r="P24" i="4" l="1"/>
  <c r="P23" i="3"/>
  <c r="Q14" i="6" l="1"/>
  <c r="L14" i="13" s="1"/>
  <c r="K14" i="13"/>
  <c r="D10" i="12"/>
  <c r="C10" i="12"/>
  <c r="F8" i="12"/>
  <c r="L10" i="12"/>
  <c r="F9" i="12" l="1"/>
  <c r="F7" i="12"/>
  <c r="F6" i="12"/>
  <c r="F4" i="14" l="1"/>
  <c r="H3" i="14" l="1"/>
  <c r="F5" i="14"/>
  <c r="R23" i="3" l="1"/>
  <c r="N25" i="13" l="1"/>
  <c r="N24" i="13"/>
  <c r="N23" i="13"/>
  <c r="N22" i="13"/>
  <c r="N21" i="13"/>
  <c r="N26" i="13"/>
  <c r="N28" i="13"/>
  <c r="N29" i="13"/>
  <c r="N30" i="13"/>
  <c r="T6" i="13" l="1"/>
  <c r="P25" i="4" l="1"/>
  <c r="R23" i="12" l="1"/>
  <c r="I15" i="13" l="1"/>
  <c r="H15" i="13"/>
  <c r="G15" i="13"/>
  <c r="F15" i="13"/>
  <c r="E15" i="13"/>
  <c r="I32" i="13"/>
  <c r="H32" i="13"/>
  <c r="G32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X46" i="13"/>
  <c r="W46" i="13"/>
  <c r="V46" i="13"/>
  <c r="X45" i="13"/>
  <c r="W45" i="13"/>
  <c r="V45" i="13"/>
  <c r="X44" i="13"/>
  <c r="W44" i="13"/>
  <c r="V44" i="13"/>
  <c r="X43" i="13"/>
  <c r="W43" i="13"/>
  <c r="V43" i="13"/>
  <c r="X42" i="13"/>
  <c r="W42" i="13"/>
  <c r="V42" i="13"/>
  <c r="X41" i="13"/>
  <c r="W41" i="13"/>
  <c r="V41" i="13"/>
  <c r="X40" i="13"/>
  <c r="W40" i="13"/>
  <c r="V40" i="13"/>
  <c r="X39" i="13"/>
  <c r="W39" i="13"/>
  <c r="V39" i="13"/>
  <c r="X38" i="13"/>
  <c r="W38" i="13"/>
  <c r="V38" i="13"/>
  <c r="X37" i="13"/>
  <c r="W37" i="13"/>
  <c r="V37" i="13"/>
  <c r="X36" i="13"/>
  <c r="W36" i="13"/>
  <c r="V36" i="13"/>
  <c r="K32" i="13"/>
  <c r="N32" i="13"/>
  <c r="F32" i="13"/>
  <c r="E32" i="13"/>
  <c r="D32" i="13"/>
  <c r="Q15" i="13"/>
  <c r="P15" i="13"/>
  <c r="S3" i="13" s="1"/>
  <c r="O15" i="13"/>
  <c r="N15" i="13"/>
  <c r="D15" i="13"/>
  <c r="O20" i="13" l="1"/>
  <c r="O23" i="13"/>
  <c r="O22" i="13"/>
  <c r="O26" i="13"/>
  <c r="O21" i="13"/>
  <c r="O24" i="13"/>
  <c r="T13" i="13"/>
  <c r="T9" i="13"/>
  <c r="T8" i="13"/>
  <c r="T7" i="13"/>
  <c r="T3" i="13"/>
  <c r="T11" i="13"/>
  <c r="T5" i="13"/>
  <c r="T4" i="13"/>
  <c r="S9" i="13"/>
  <c r="S5" i="13"/>
  <c r="S8" i="13"/>
  <c r="S11" i="13"/>
  <c r="S7" i="13"/>
  <c r="S4" i="13"/>
  <c r="S13" i="13"/>
  <c r="V47" i="13"/>
  <c r="W47" i="13"/>
  <c r="X47" i="13"/>
  <c r="E9" i="14"/>
  <c r="D9" i="14"/>
  <c r="C9" i="14"/>
  <c r="S15" i="13" l="1"/>
  <c r="T15" i="13"/>
  <c r="H9" i="14"/>
  <c r="F8" i="14"/>
  <c r="F7" i="14"/>
  <c r="F6" i="14"/>
  <c r="F3" i="14"/>
  <c r="H4" i="14"/>
  <c r="H5" i="14"/>
  <c r="H6" i="14"/>
  <c r="H7" i="14"/>
  <c r="H8" i="14"/>
  <c r="F9" i="14" l="1"/>
  <c r="G9" i="14" s="1"/>
  <c r="I9" i="14" s="1"/>
  <c r="G4" i="14"/>
  <c r="I4" i="14" s="1"/>
  <c r="G5" i="14"/>
  <c r="I5" i="14" s="1"/>
  <c r="G6" i="14"/>
  <c r="I6" i="14" s="1"/>
  <c r="G7" i="14"/>
  <c r="I7" i="14" s="1"/>
  <c r="G8" i="14"/>
  <c r="I8" i="14" s="1"/>
  <c r="G3" i="14"/>
  <c r="I3" i="14" s="1"/>
  <c r="K40" i="6" l="1"/>
  <c r="J40" i="6"/>
  <c r="I40" i="6"/>
  <c r="T23" i="12" l="1"/>
  <c r="S23" i="12"/>
  <c r="Z16" i="6" l="1"/>
  <c r="F5" i="12" l="1"/>
  <c r="R3" i="13" l="1"/>
  <c r="C40" i="6" l="1"/>
  <c r="Q23" i="4" l="1"/>
  <c r="P23" i="4"/>
  <c r="R7" i="13" l="1"/>
  <c r="N28" i="4"/>
  <c r="M28" i="4" l="1"/>
  <c r="K28" i="4"/>
  <c r="J28" i="4"/>
  <c r="I28" i="4"/>
  <c r="G28" i="4"/>
  <c r="F28" i="4"/>
  <c r="E28" i="4"/>
  <c r="C28" i="4"/>
  <c r="Q27" i="4"/>
  <c r="P27" i="4"/>
  <c r="O27" i="4"/>
  <c r="D27" i="4" s="1"/>
  <c r="Q26" i="4"/>
  <c r="P26" i="4"/>
  <c r="O26" i="4"/>
  <c r="H26" i="4" s="1"/>
  <c r="Q25" i="4"/>
  <c r="O25" i="4"/>
  <c r="H25" i="4" s="1"/>
  <c r="Q24" i="4"/>
  <c r="O24" i="4"/>
  <c r="H24" i="4" s="1"/>
  <c r="O23" i="4"/>
  <c r="H23" i="4" s="1"/>
  <c r="Q22" i="4"/>
  <c r="P22" i="4"/>
  <c r="O22" i="4"/>
  <c r="H22" i="4" s="1"/>
  <c r="Q21" i="4"/>
  <c r="P21" i="4"/>
  <c r="O21" i="4"/>
  <c r="H21" i="4" s="1"/>
  <c r="Q20" i="4"/>
  <c r="P20" i="4"/>
  <c r="O20" i="4"/>
  <c r="B5" i="7"/>
  <c r="O28" i="4" l="1"/>
  <c r="L28" i="4" s="1"/>
  <c r="L20" i="4"/>
  <c r="D20" i="4"/>
  <c r="H27" i="4"/>
  <c r="L27" i="4"/>
  <c r="P28" i="4"/>
  <c r="Q28" i="4"/>
  <c r="L22" i="4"/>
  <c r="L21" i="4"/>
  <c r="L23" i="4"/>
  <c r="D26" i="4"/>
  <c r="D23" i="4"/>
  <c r="D21" i="4"/>
  <c r="L26" i="4"/>
  <c r="D25" i="4"/>
  <c r="D24" i="4"/>
  <c r="L24" i="4"/>
  <c r="D22" i="4"/>
  <c r="L25" i="4"/>
  <c r="H20" i="4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4" i="3"/>
  <c r="D28" i="4" l="1"/>
  <c r="Q40" i="6"/>
  <c r="P40" i="6"/>
  <c r="H28" i="4"/>
  <c r="Q4" i="6"/>
  <c r="L4" i="13" s="1"/>
  <c r="Q5" i="6"/>
  <c r="L5" i="13" s="1"/>
  <c r="Q6" i="6"/>
  <c r="L6" i="13" s="1"/>
  <c r="Q7" i="6"/>
  <c r="L7" i="13" s="1"/>
  <c r="Q8" i="6"/>
  <c r="L8" i="13" s="1"/>
  <c r="Q9" i="6"/>
  <c r="L9" i="13" s="1"/>
  <c r="Q10" i="6"/>
  <c r="L10" i="13" s="1"/>
  <c r="Q11" i="6"/>
  <c r="L11" i="13" s="1"/>
  <c r="Q12" i="6"/>
  <c r="L12" i="13" s="1"/>
  <c r="Q13" i="6"/>
  <c r="L13" i="13" s="1"/>
  <c r="K4" i="13"/>
  <c r="K5" i="13"/>
  <c r="K6" i="13"/>
  <c r="K7" i="13"/>
  <c r="K8" i="13"/>
  <c r="K9" i="13"/>
  <c r="K10" i="13"/>
  <c r="K11" i="13"/>
  <c r="K12" i="13"/>
  <c r="K13" i="13"/>
  <c r="J9" i="13"/>
  <c r="J5" i="13" l="1"/>
  <c r="J15" i="13" s="1"/>
  <c r="R15" i="13" s="1"/>
  <c r="L3" i="13"/>
  <c r="L15" i="13" s="1"/>
  <c r="Q15" i="6"/>
  <c r="K3" i="13"/>
  <c r="K15" i="13" s="1"/>
  <c r="P15" i="6"/>
  <c r="O27" i="13"/>
  <c r="R10" i="13"/>
  <c r="R6" i="13"/>
  <c r="R4" i="13"/>
  <c r="R13" i="13"/>
  <c r="O30" i="13"/>
  <c r="R12" i="13"/>
  <c r="O29" i="13"/>
  <c r="O28" i="13"/>
  <c r="R9" i="13"/>
  <c r="R8" i="13"/>
  <c r="O25" i="13"/>
  <c r="F4" i="12"/>
  <c r="H5" i="12" s="1"/>
  <c r="H8" i="12"/>
  <c r="H10" i="12"/>
  <c r="H11" i="12"/>
  <c r="F3" i="12"/>
  <c r="F10" i="12" s="1"/>
  <c r="N10" i="12"/>
  <c r="M10" i="12"/>
  <c r="H9" i="12"/>
  <c r="H6" i="12"/>
  <c r="G3" i="12"/>
  <c r="O32" i="13" l="1"/>
  <c r="R5" i="13"/>
  <c r="H4" i="12"/>
  <c r="E10" i="12"/>
  <c r="H7" i="12"/>
  <c r="D5" i="5"/>
  <c r="D3" i="5"/>
  <c r="H3" i="12" l="1"/>
  <c r="J22" i="3"/>
  <c r="K14" i="5"/>
  <c r="K22" i="3" l="1"/>
  <c r="D9" i="5" l="1"/>
  <c r="D7" i="5"/>
  <c r="D4" i="5"/>
  <c r="AF4" i="4" l="1"/>
  <c r="AE4" i="4"/>
  <c r="AD4" i="4"/>
  <c r="W4" i="4" s="1"/>
  <c r="AD9" i="4"/>
  <c r="AA9" i="4" s="1"/>
  <c r="AF9" i="4"/>
  <c r="AE9" i="4"/>
  <c r="AF13" i="4"/>
  <c r="AE13" i="4"/>
  <c r="AD13" i="4"/>
  <c r="AA13" i="4" s="1"/>
  <c r="V14" i="4"/>
  <c r="AF7" i="4"/>
  <c r="AE7" i="4"/>
  <c r="AD7" i="4"/>
  <c r="AF3" i="4"/>
  <c r="AE3" i="4"/>
  <c r="AD3" i="4"/>
  <c r="W3" i="4" s="1"/>
  <c r="AF12" i="4"/>
  <c r="AF11" i="4"/>
  <c r="AF10" i="4"/>
  <c r="AF8" i="4"/>
  <c r="AF6" i="4"/>
  <c r="AF5" i="4"/>
  <c r="AE12" i="4"/>
  <c r="AE11" i="4"/>
  <c r="AE10" i="4"/>
  <c r="AE8" i="4"/>
  <c r="AE5" i="4"/>
  <c r="AE6" i="4"/>
  <c r="AD10" i="4"/>
  <c r="AA10" i="4" s="1"/>
  <c r="AD6" i="4"/>
  <c r="S6" i="4" s="1"/>
  <c r="AD11" i="4"/>
  <c r="AA11" i="4" s="1"/>
  <c r="AD8" i="4"/>
  <c r="S8" i="4" s="1"/>
  <c r="AD5" i="4"/>
  <c r="AA5" i="4" s="1"/>
  <c r="AD12" i="4"/>
  <c r="S12" i="4" s="1"/>
  <c r="Y16" i="6"/>
  <c r="S9" i="4" l="1"/>
  <c r="S4" i="4"/>
  <c r="S13" i="4"/>
  <c r="W13" i="4"/>
  <c r="S11" i="4"/>
  <c r="W10" i="4"/>
  <c r="S10" i="4"/>
  <c r="W11" i="4"/>
  <c r="S5" i="4"/>
  <c r="W5" i="4"/>
  <c r="AA7" i="4"/>
  <c r="W7" i="4"/>
  <c r="S7" i="4"/>
  <c r="AA3" i="4"/>
  <c r="AA6" i="4"/>
  <c r="W6" i="4"/>
  <c r="W8" i="4"/>
  <c r="S3" i="4"/>
  <c r="AA8" i="4"/>
  <c r="W12" i="4"/>
  <c r="AA12" i="4"/>
  <c r="AD14" i="4"/>
  <c r="AC14" i="4"/>
  <c r="AB14" i="4"/>
  <c r="Z14" i="4"/>
  <c r="Y14" i="4"/>
  <c r="X14" i="4"/>
  <c r="U14" i="4"/>
  <c r="T14" i="4"/>
  <c r="R14" i="4"/>
  <c r="C14" i="4"/>
  <c r="O3" i="4"/>
  <c r="D3" i="4" s="1"/>
  <c r="AA14" i="4" l="1"/>
  <c r="S14" i="4"/>
  <c r="W14" i="4"/>
  <c r="AF14" i="4"/>
  <c r="L22" i="3" l="1"/>
  <c r="R20" i="5" l="1"/>
  <c r="E3" i="5" l="1"/>
  <c r="E4" i="5" l="1"/>
  <c r="E5" i="5"/>
  <c r="E6" i="5"/>
  <c r="E7" i="5"/>
  <c r="E8" i="5"/>
  <c r="E9" i="5"/>
  <c r="E10" i="5"/>
  <c r="E12" i="5"/>
  <c r="E13" i="5"/>
  <c r="E14" i="5"/>
  <c r="E15" i="5"/>
  <c r="L14" i="5" l="1"/>
  <c r="F3" i="5" l="1"/>
  <c r="Q20" i="5" l="1"/>
  <c r="D5" i="7" l="1"/>
  <c r="C5" i="7"/>
  <c r="M14" i="5" l="1"/>
  <c r="W15" i="6"/>
  <c r="X15" i="6" s="1"/>
  <c r="AA15" i="6" s="1"/>
  <c r="X14" i="6"/>
  <c r="AA14" i="6" s="1"/>
  <c r="X13" i="6"/>
  <c r="AA13" i="6" s="1"/>
  <c r="W12" i="6"/>
  <c r="X12" i="6" s="1"/>
  <c r="AA12" i="6" s="1"/>
  <c r="X11" i="6"/>
  <c r="AA11" i="6" s="1"/>
  <c r="W10" i="6"/>
  <c r="X10" i="6" s="1"/>
  <c r="AA10" i="6" s="1"/>
  <c r="W9" i="6"/>
  <c r="X9" i="6" s="1"/>
  <c r="AA9" i="6" s="1"/>
  <c r="X8" i="6"/>
  <c r="AA8" i="6" s="1"/>
  <c r="W7" i="6"/>
  <c r="X7" i="6" s="1"/>
  <c r="AA7" i="6" s="1"/>
  <c r="X6" i="6"/>
  <c r="AA6" i="6" s="1"/>
  <c r="W5" i="6"/>
  <c r="V5" i="6"/>
  <c r="V16" i="6" s="1"/>
  <c r="X4" i="6"/>
  <c r="AA4" i="6" s="1"/>
  <c r="X3" i="6"/>
  <c r="AA3" i="6" s="1"/>
  <c r="W16" i="6" l="1"/>
  <c r="X5" i="6"/>
  <c r="F40" i="6"/>
  <c r="G40" i="6"/>
  <c r="H40" i="6"/>
  <c r="AA5" i="6" l="1"/>
  <c r="AA16" i="6" s="1"/>
  <c r="X16" i="6"/>
  <c r="E40" i="6"/>
  <c r="D40" i="6"/>
  <c r="G3" i="5" l="1"/>
  <c r="S20" i="5" l="1"/>
  <c r="C16" i="5"/>
  <c r="G14" i="5"/>
  <c r="G13" i="5"/>
  <c r="G12" i="5"/>
  <c r="G11" i="5"/>
  <c r="G10" i="5"/>
  <c r="G9" i="5"/>
  <c r="G8" i="5"/>
  <c r="D16" i="5"/>
  <c r="G6" i="5"/>
  <c r="G5" i="5"/>
  <c r="G4" i="5"/>
  <c r="N14" i="4" l="1"/>
  <c r="M14" i="4"/>
  <c r="K14" i="4"/>
  <c r="J14" i="4"/>
  <c r="I14" i="4"/>
  <c r="G14" i="4"/>
  <c r="F14" i="4"/>
  <c r="E14" i="4"/>
  <c r="Q13" i="4"/>
  <c r="P13" i="4"/>
  <c r="O13" i="4"/>
  <c r="L13" i="4" s="1"/>
  <c r="Q12" i="4"/>
  <c r="P12" i="4"/>
  <c r="O12" i="4"/>
  <c r="H12" i="4" s="1"/>
  <c r="Q11" i="4"/>
  <c r="P11" i="4"/>
  <c r="O11" i="4"/>
  <c r="L11" i="4" s="1"/>
  <c r="Q10" i="4"/>
  <c r="P10" i="4"/>
  <c r="O10" i="4"/>
  <c r="D10" i="4" s="1"/>
  <c r="Q9" i="4"/>
  <c r="P9" i="4"/>
  <c r="O9" i="4"/>
  <c r="H9" i="4" s="1"/>
  <c r="Q8" i="4"/>
  <c r="P8" i="4"/>
  <c r="O8" i="4"/>
  <c r="Q7" i="4"/>
  <c r="P7" i="4"/>
  <c r="O7" i="4"/>
  <c r="H7" i="4" s="1"/>
  <c r="Q6" i="4"/>
  <c r="P6" i="4"/>
  <c r="O6" i="4"/>
  <c r="L6" i="4" s="1"/>
  <c r="Q5" i="4"/>
  <c r="P5" i="4"/>
  <c r="O5" i="4"/>
  <c r="L5" i="4" s="1"/>
  <c r="Q4" i="4"/>
  <c r="P4" i="4"/>
  <c r="O4" i="4"/>
  <c r="H4" i="4" s="1"/>
  <c r="Q3" i="4"/>
  <c r="P3" i="4"/>
  <c r="L3" i="4"/>
  <c r="H8" i="4" l="1"/>
  <c r="L8" i="4"/>
  <c r="E16" i="5"/>
  <c r="G7" i="5"/>
  <c r="G16" i="5" s="1"/>
  <c r="H10" i="4"/>
  <c r="L12" i="4"/>
  <c r="P14" i="4"/>
  <c r="D4" i="4"/>
  <c r="H3" i="4"/>
  <c r="L10" i="4"/>
  <c r="H6" i="4"/>
  <c r="L4" i="4"/>
  <c r="D12" i="4"/>
  <c r="D6" i="4"/>
  <c r="D9" i="4"/>
  <c r="L9" i="4"/>
  <c r="D8" i="4"/>
  <c r="H13" i="4"/>
  <c r="H5" i="4"/>
  <c r="D7" i="4"/>
  <c r="H11" i="4"/>
  <c r="L7" i="4"/>
  <c r="Q14" i="4"/>
  <c r="D13" i="4"/>
  <c r="D5" i="4"/>
  <c r="D11" i="4"/>
  <c r="O14" i="4"/>
  <c r="F20" i="3"/>
  <c r="V20" i="3" s="1"/>
  <c r="V22" i="3" s="1"/>
  <c r="E20" i="3"/>
  <c r="U20" i="3" s="1"/>
  <c r="U22" i="3" s="1"/>
  <c r="D20" i="3"/>
  <c r="T20" i="3" s="1"/>
  <c r="T22" i="3" s="1"/>
  <c r="L14" i="4" l="1"/>
  <c r="D14" i="4"/>
  <c r="H14" i="4"/>
  <c r="Q20" i="1"/>
  <c r="K14" i="1"/>
  <c r="J20" i="1" s="1"/>
  <c r="J14" i="1"/>
  <c r="I14" i="1"/>
  <c r="D10" i="1" l="1"/>
  <c r="E10" i="1" s="1"/>
  <c r="AE14" i="4" l="1"/>
  <c r="D12" i="1"/>
  <c r="E12" i="1" s="1"/>
  <c r="D5" i="1" l="1"/>
  <c r="D15" i="1" l="1"/>
  <c r="E15" i="1" s="1"/>
  <c r="E14" i="1"/>
  <c r="E13" i="1"/>
  <c r="E11" i="1"/>
  <c r="D9" i="1"/>
  <c r="E9" i="1" s="1"/>
  <c r="E8" i="1"/>
  <c r="D7" i="1"/>
  <c r="E7" i="1" s="1"/>
  <c r="E6" i="1"/>
  <c r="E4" i="1"/>
  <c r="E3" i="1"/>
  <c r="P20" i="1" l="1"/>
  <c r="O20" i="1" l="1"/>
  <c r="C5" i="1" l="1"/>
  <c r="E5" i="1" s="1"/>
  <c r="E16" i="1" s="1"/>
  <c r="D16" i="1" l="1"/>
  <c r="C16" i="1" l="1"/>
</calcChain>
</file>

<file path=xl/sharedStrings.xml><?xml version="1.0" encoding="utf-8"?>
<sst xmlns="http://schemas.openxmlformats.org/spreadsheetml/2006/main" count="756" uniqueCount="149">
  <si>
    <t>№</t>
  </si>
  <si>
    <t>Наименование БВУ/МФО</t>
  </si>
  <si>
    <t>АО "Bank RBK"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</si>
  <si>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</si>
  <si>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</si>
  <si>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</si>
  <si>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</si>
  <si>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</si>
  <si>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"Народный Банк Казахстана"</t>
  </si>
  <si>
    <t>АО "Нурбанк"</t>
  </si>
  <si>
    <t>ДБ АО "Сбербанк"</t>
  </si>
  <si>
    <t>АО "First Heartland Jysan Bank"</t>
  </si>
  <si>
    <t>ТОО "МФО "KMF"</t>
  </si>
  <si>
    <t>ТОО МФО "РИЦ Кызылорда"</t>
  </si>
  <si>
    <t>Итого:</t>
  </si>
  <si>
    <t xml:space="preserve">Соглашение о ПСиГ 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</si>
  <si>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</si>
  <si>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</si>
  <si>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</si>
  <si>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</si>
  <si>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</si>
  <si>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</si>
  <si>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</si>
  <si>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</si>
  <si>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</si>
  <si>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</si>
  <si>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</si>
  <si>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</si>
  <si>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</si>
  <si>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</si>
  <si>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</si>
  <si>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</si>
  <si>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</si>
  <si>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</si>
  <si>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</si>
  <si>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Подписанные в разрезе регионов</t>
  </si>
  <si>
    <t xml:space="preserve">АО "ForteBank" </t>
  </si>
  <si>
    <t>АО "First Heartland Jýsan Bank"</t>
  </si>
  <si>
    <t>МФО "РИЦ "Кызылорда"</t>
  </si>
  <si>
    <t>БВУ/МФО</t>
  </si>
  <si>
    <t>Утвержденный лимит по гарантированию на 2020 год, тенге</t>
  </si>
  <si>
    <t xml:space="preserve">ИТОГО 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</si>
  <si>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</si>
  <si>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</si>
  <si>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</si>
  <si>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</si>
  <si>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 xml:space="preserve">ДОПОЛНИТЕЛЬНЫЙ лимит на 2020г. 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</si>
  <si>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</si>
  <si>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</si>
  <si>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Отрасль</t>
  </si>
  <si>
    <t>Инвестиции</t>
  </si>
  <si>
    <t>ПОС</t>
  </si>
  <si>
    <t>Смешанный вид (инв+пос)</t>
  </si>
  <si>
    <t>итого</t>
  </si>
  <si>
    <t>Доля,%</t>
  </si>
  <si>
    <t>Утвержденный лимит по гарантированию на 2021 год, тенге</t>
  </si>
  <si>
    <t xml:space="preserve">ДОПОЛНИТЕЛЬНЫЙ лимит на 2021г. </t>
  </si>
  <si>
    <t>ТОО МФО "KMF"</t>
  </si>
  <si>
    <t>Подписанные в разрезе регионов 2021 г</t>
  </si>
  <si>
    <t>Подписанные в разрезе регионов 2020г.</t>
  </si>
  <si>
    <t>Подписанные в разрезе регионов 2021г.</t>
  </si>
  <si>
    <t>Соглашение о ПСиГ 2021г.</t>
  </si>
  <si>
    <t>A-Сельское, лесное и рыбное хозяйство</t>
  </si>
  <si>
    <t>C-Обрабатывающая промышленность</t>
  </si>
  <si>
    <t>E-Водоснабжение; сбор, обработка и удаление отходов, деятельность по ликвидации загрязнений</t>
  </si>
  <si>
    <t>F-Строительство</t>
  </si>
  <si>
    <t>G-Оптовая и розничная торговля; ремонт автомобилей и мотоциклов</t>
  </si>
  <si>
    <t>H-Транспорт и складирование</t>
  </si>
  <si>
    <t>I-Услуги по проживанию и питанию</t>
  </si>
  <si>
    <t>J-Информация и связь</t>
  </si>
  <si>
    <t>L-Операции с недвижимым имуществом</t>
  </si>
  <si>
    <t>M-Профессиональная, научная и техническая деятельность</t>
  </si>
  <si>
    <t>N-Деятельность в области административного и вспомогательного обслуживания</t>
  </si>
  <si>
    <t>P-Образование</t>
  </si>
  <si>
    <t>Q-Здравоохранение и социальные услуги</t>
  </si>
  <si>
    <t>R-Искусство, развлечения и отдых</t>
  </si>
  <si>
    <t>S-Предоставление прочих видов услуг</t>
  </si>
  <si>
    <t xml:space="preserve">малый </t>
  </si>
  <si>
    <t>микро</t>
  </si>
  <si>
    <t>Название</t>
  </si>
  <si>
    <t>сумма кредита (тенге)</t>
  </si>
  <si>
    <t>сумма гарантии (тенге)</t>
  </si>
  <si>
    <t>D-Снабжение электроэнергией, газом, паром, горячей водой и  кондиционированным воздухом</t>
  </si>
  <si>
    <t xml:space="preserve"> </t>
  </si>
  <si>
    <t>Кол-во</t>
  </si>
  <si>
    <t>T-Деятельность домашних хозяйств, нанимающих домашнюю прислугу и производящих товары и услуги для собственного потребления</t>
  </si>
  <si>
    <t xml:space="preserve">  </t>
  </si>
  <si>
    <t>Данные по выданным договорам гарантии в рамках  
первого направления ГП ДКБ 2025
 (отчет за период с 25.01.21г. - 31.12.21.г.)</t>
  </si>
  <si>
    <t>Данные по выданным договорам гарантии в рамках  
первого направления ГП ДКБ 2025
 (отчет за период с 25.01.21. - 31.12.21.г.)</t>
  </si>
  <si>
    <t>Соглашение о ПСиГ 2022г.</t>
  </si>
  <si>
    <t>Утвержденный лимит по гарантированию на 2022 год, тенге</t>
  </si>
  <si>
    <t>Подписанные в разрезе регионов 2022г.</t>
  </si>
  <si>
    <t>Подписанные в разрезе регионов 2022 г</t>
  </si>
  <si>
    <t>Итого данные по выданным договорам гарантии в рамках первого направления ГП ДКБ 2025 (отчет за период с 01.09.2020г по 05.07.2022г.</t>
  </si>
  <si>
    <t>В разрезе БВУ</t>
  </si>
  <si>
    <t>Итого выдано за период 2020-2021-2022г.</t>
  </si>
  <si>
    <t>кол-во проектов на просрочке</t>
  </si>
  <si>
    <t>Сумма кредита</t>
  </si>
  <si>
    <t>Остаток задолженности основного долга на отчетную дату</t>
  </si>
  <si>
    <t>Сумма гарантии</t>
  </si>
  <si>
    <t>Остаток суммы гарантии Финансового агента</t>
  </si>
  <si>
    <t>Кол-во выплаченных требований</t>
  </si>
  <si>
    <t>Сумма выплаченного требования</t>
  </si>
  <si>
    <t xml:space="preserve">Просрочка от 0 до 30 дней </t>
  </si>
  <si>
    <t xml:space="preserve">Просрочки от 30 до 60 дней </t>
  </si>
  <si>
    <t xml:space="preserve">Просрочки от 60 до 90 дней </t>
  </si>
  <si>
    <t>Просрочки свыше 90 дней</t>
  </si>
  <si>
    <t xml:space="preserve">ДОПОЛНИТЕЛЬНЫЙ лимит на 2022г. </t>
  </si>
  <si>
    <t>АО «ECO СENTER BANK» (ДБ АО «Банк ЦентрКредит»)</t>
  </si>
  <si>
    <t>Запрошенный лимит по гарантированию на 2022 год, тенге</t>
  </si>
  <si>
    <t>Абайская область</t>
  </si>
  <si>
    <t>количество</t>
  </si>
  <si>
    <t>O-Государственное управление и оборона; обязательное социальное обеспечение</t>
  </si>
  <si>
    <t>Улытауская область</t>
  </si>
  <si>
    <t>Жетысуская область</t>
  </si>
  <si>
    <t>Выплаченные требования</t>
  </si>
  <si>
    <t>Сумма кредита, в тенге</t>
  </si>
  <si>
    <t>Сумма гарантии, в тенге</t>
  </si>
  <si>
    <t xml:space="preserve">Всего </t>
  </si>
  <si>
    <t xml:space="preserve">Итого </t>
  </si>
  <si>
    <t>остаток лимита
(тенге)</t>
  </si>
  <si>
    <t>остаток в ЦТ
(тенге)</t>
  </si>
  <si>
    <t>ср.ст гарантии
(тенге)</t>
  </si>
  <si>
    <t>прогноз кол-во</t>
  </si>
  <si>
    <t>K-Финансовая и страховая деятельность</t>
  </si>
  <si>
    <t>АО Bereke Bank (быв ДБ АО "Сбербанк")</t>
  </si>
  <si>
    <t>Доля выплаченных требований от общего кол-ва</t>
  </si>
  <si>
    <t>Доля от выданных гарантий</t>
  </si>
  <si>
    <t>г.Астана</t>
  </si>
  <si>
    <t>Прогноз по договорам гарантии на конец 2022г.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- 22.12.22г.)</t>
  </si>
  <si>
    <t>АО "Банк Фридом Финанс Казахстан"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</si>
  <si>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- 27.12.22г.)</t>
  </si>
  <si>
    <t>Данные по выданным договорам гарантии в рамках  
первого направления ГП ДКБ 2025
 (отчет за период с 09.06.22г. - 27.12.22г.)</t>
  </si>
  <si>
    <t>Доля от общего портфеля выданных гарантий БВУ</t>
  </si>
  <si>
    <t>Запрошенный лимит по гарантированию на 2023 год, тенге</t>
  </si>
  <si>
    <t xml:space="preserve">ДОПОЛНИТЕЛЬНЫЙ лимит на 2023г. </t>
  </si>
  <si>
    <t>Подписанные в разрезе регионов 2023 г</t>
  </si>
  <si>
    <t>Подписанные в разрезе регионов 2023г.</t>
  </si>
  <si>
    <t>Соглашение о ПСиГ 2023г.</t>
  </si>
  <si>
    <t>Целевые трансферты</t>
  </si>
  <si>
    <t>Размер гарантии</t>
  </si>
  <si>
    <t>Планируемый лимит по гарантированию на 2023 год, тенге</t>
  </si>
  <si>
    <t>Утвержденный лимит Решением Правления №30/2023 от 21.04.2023</t>
  </si>
  <si>
    <t>остаток к освоению</t>
  </si>
  <si>
    <t>необходимый бюджет на остаток</t>
  </si>
  <si>
    <t>Выделенный бюджет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</si>
  <si>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10.05.23. - 21.06.23г.)</t>
  </si>
  <si>
    <t>Данные по выданным договорам гарантии в рамках  
первого направления ГП ДКБ 2025
 (отчет за период с 10.05.23г. - 21.06.23г.)</t>
  </si>
  <si>
    <t>Данные по субьектности  с 10.05.2023г. по 21.06.2023г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</si>
</sst>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\ _₸_-;\-* #,##0.00\ _₸_-;_-* &quot;-&quot;??\ _₸_-;_-@_-"/>
    <numFmt numFmtId="166" formatCode="_-* #,##0\ _₸_-;\-* #,##0\ _₸_-;_-* &quot;-&quot;??\ _₸_-;_-@_-"/>
    <numFmt numFmtId="167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595959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6F6E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59">
    <xf numFmtId="0" fontId="0" fillId="0" borderId="0" xfId="0"/>
    <xf numFmtId="0" fontId="2" fillId="0" borderId="1" xfId="0" applyFont="1" applyBorder="1"/>
    <xf numFmtId="165" fontId="2" fillId="0" borderId="1" xfId="1" applyFont="1" applyBorder="1"/>
    <xf numFmtId="0" fontId="2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5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5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5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1" applyFont="1"/>
    <xf numFmtId="0" fontId="2" fillId="0" borderId="1" xfId="0" applyFont="1" applyFill="1" applyBorder="1" applyAlignment="1">
      <alignment horizontal="center" vertical="center"/>
    </xf>
    <xf numFmtId="165" fontId="2" fillId="0" borderId="1" xfId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166" fontId="2" fillId="0" borderId="5" xfId="1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66" fontId="2" fillId="0" borderId="6" xfId="1" applyNumberFormat="1" applyFont="1" applyBorder="1" applyAlignment="1">
      <alignment vertical="center"/>
    </xf>
    <xf numFmtId="166" fontId="2" fillId="0" borderId="0" xfId="1" applyNumberFormat="1" applyFont="1"/>
    <xf numFmtId="166" fontId="2" fillId="0" borderId="0" xfId="0" applyNumberFormat="1" applyFont="1"/>
    <xf numFmtId="9" fontId="2" fillId="0" borderId="1" xfId="2" applyFont="1" applyFill="1" applyBorder="1" applyAlignment="1">
      <alignment horizontal="center"/>
    </xf>
    <xf numFmtId="9" fontId="2" fillId="0" borderId="1" xfId="2" applyFont="1" applyBorder="1" applyAlignment="1">
      <alignment vertical="center"/>
    </xf>
    <xf numFmtId="166" fontId="2" fillId="4" borderId="1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/>
    <xf numFmtId="166" fontId="2" fillId="4" borderId="5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7" xfId="0" applyFont="1" applyFill="1" applyBorder="1" applyAlignment="1">
      <alignment horizontal="center"/>
    </xf>
    <xf numFmtId="9" fontId="2" fillId="0" borderId="9" xfId="2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166" fontId="2" fillId="0" borderId="7" xfId="1" applyNumberFormat="1" applyFont="1" applyBorder="1" applyAlignment="1">
      <alignment vertical="center"/>
    </xf>
    <xf numFmtId="9" fontId="2" fillId="0" borderId="9" xfId="2" applyFont="1" applyBorder="1" applyAlignment="1">
      <alignment vertical="center"/>
    </xf>
    <xf numFmtId="166" fontId="2" fillId="0" borderId="9" xfId="1" applyNumberFormat="1" applyFont="1" applyBorder="1" applyAlignment="1">
      <alignment vertical="center"/>
    </xf>
    <xf numFmtId="166" fontId="2" fillId="0" borderId="8" xfId="1" applyNumberFormat="1" applyFont="1" applyBorder="1" applyAlignment="1">
      <alignment vertical="center"/>
    </xf>
    <xf numFmtId="166" fontId="2" fillId="4" borderId="7" xfId="0" applyNumberFormat="1" applyFont="1" applyFill="1" applyBorder="1"/>
    <xf numFmtId="166" fontId="2" fillId="4" borderId="9" xfId="0" applyNumberFormat="1" applyFont="1" applyFill="1" applyBorder="1"/>
    <xf numFmtId="0" fontId="4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2" fillId="0" borderId="13" xfId="0" applyFont="1" applyFill="1" applyBorder="1" applyAlignment="1">
      <alignment horizontal="center"/>
    </xf>
    <xf numFmtId="9" fontId="2" fillId="0" borderId="15" xfId="2" applyFont="1" applyFill="1" applyBorder="1" applyAlignment="1">
      <alignment horizontal="center"/>
    </xf>
    <xf numFmtId="166" fontId="2" fillId="0" borderId="15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166" fontId="2" fillId="0" borderId="13" xfId="1" applyNumberFormat="1" applyFont="1" applyBorder="1" applyAlignment="1">
      <alignment vertical="center"/>
    </xf>
    <xf numFmtId="9" fontId="2" fillId="0" borderId="15" xfId="2" applyFont="1" applyBorder="1" applyAlignment="1">
      <alignment vertical="center"/>
    </xf>
    <xf numFmtId="166" fontId="2" fillId="0" borderId="15" xfId="1" applyNumberFormat="1" applyFont="1" applyBorder="1" applyAlignment="1">
      <alignment vertical="center"/>
    </xf>
    <xf numFmtId="166" fontId="2" fillId="0" borderId="14" xfId="1" applyNumberFormat="1" applyFont="1" applyBorder="1" applyAlignment="1">
      <alignment vertical="center"/>
    </xf>
    <xf numFmtId="166" fontId="2" fillId="4" borderId="13" xfId="0" applyNumberFormat="1" applyFont="1" applyFill="1" applyBorder="1"/>
    <xf numFmtId="166" fontId="2" fillId="4" borderId="15" xfId="0" applyNumberFormat="1" applyFont="1" applyFill="1" applyBorder="1"/>
    <xf numFmtId="166" fontId="3" fillId="4" borderId="10" xfId="1" applyNumberFormat="1" applyFont="1" applyFill="1" applyBorder="1" applyAlignment="1">
      <alignment vertical="center"/>
    </xf>
    <xf numFmtId="166" fontId="3" fillId="4" borderId="12" xfId="0" applyNumberFormat="1" applyFont="1" applyFill="1" applyBorder="1" applyAlignment="1">
      <alignment vertical="center"/>
    </xf>
    <xf numFmtId="166" fontId="3" fillId="4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66" fontId="2" fillId="0" borderId="0" xfId="1" applyNumberFormat="1" applyFont="1" applyAlignment="1">
      <alignment horizontal="center"/>
    </xf>
    <xf numFmtId="165" fontId="2" fillId="5" borderId="1" xfId="1" applyFont="1" applyFill="1" applyBorder="1" applyAlignment="1">
      <alignment horizontal="center"/>
    </xf>
    <xf numFmtId="165" fontId="2" fillId="5" borderId="6" xfId="1" applyFont="1" applyFill="1" applyBorder="1" applyAlignment="1">
      <alignment horizontal="center"/>
    </xf>
    <xf numFmtId="165" fontId="2" fillId="0" borderId="0" xfId="0" applyNumberFormat="1" applyFont="1"/>
    <xf numFmtId="165" fontId="2" fillId="6" borderId="1" xfId="0" applyNumberFormat="1" applyFont="1" applyFill="1" applyBorder="1"/>
    <xf numFmtId="165" fontId="2" fillId="6" borderId="6" xfId="0" applyNumberFormat="1" applyFont="1" applyFill="1" applyBorder="1"/>
    <xf numFmtId="165" fontId="2" fillId="0" borderId="0" xfId="1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/>
    </xf>
    <xf numFmtId="4" fontId="3" fillId="4" borderId="1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2" fillId="0" borderId="0" xfId="0" applyNumberFormat="1" applyFont="1"/>
    <xf numFmtId="166" fontId="2" fillId="0" borderId="5" xfId="1" applyNumberFormat="1" applyFont="1" applyBorder="1"/>
    <xf numFmtId="166" fontId="2" fillId="0" borderId="5" xfId="0" applyNumberFormat="1" applyFont="1" applyBorder="1"/>
    <xf numFmtId="166" fontId="2" fillId="0" borderId="6" xfId="1" applyNumberFormat="1" applyFont="1" applyBorder="1"/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/>
    <xf numFmtId="3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/>
    <xf numFmtId="0" fontId="3" fillId="4" borderId="17" xfId="0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65" fontId="3" fillId="4" borderId="20" xfId="0" applyNumberFormat="1" applyFont="1" applyFill="1" applyBorder="1" applyAlignment="1">
      <alignment horizontal="center"/>
    </xf>
    <xf numFmtId="165" fontId="3" fillId="4" borderId="21" xfId="0" applyNumberFormat="1" applyFont="1" applyFill="1" applyBorder="1" applyAlignment="1">
      <alignment horizontal="center"/>
    </xf>
    <xf numFmtId="165" fontId="3" fillId="4" borderId="2" xfId="1" applyFont="1" applyFill="1" applyBorder="1"/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9" fontId="3" fillId="4" borderId="12" xfId="2" applyFont="1" applyFill="1" applyBorder="1" applyAlignment="1">
      <alignment horizontal="center"/>
    </xf>
    <xf numFmtId="166" fontId="3" fillId="4" borderId="12" xfId="1" applyNumberFormat="1" applyFont="1" applyFill="1" applyBorder="1" applyAlignment="1">
      <alignment horizontal="center"/>
    </xf>
    <xf numFmtId="166" fontId="3" fillId="4" borderId="11" xfId="1" applyNumberFormat="1" applyFont="1" applyFill="1" applyBorder="1" applyAlignment="1">
      <alignment horizontal="center"/>
    </xf>
    <xf numFmtId="166" fontId="3" fillId="4" borderId="12" xfId="0" applyNumberFormat="1" applyFont="1" applyFill="1" applyBorder="1" applyAlignment="1">
      <alignment horizontal="center"/>
    </xf>
    <xf numFmtId="166" fontId="3" fillId="4" borderId="11" xfId="0" applyNumberFormat="1" applyFont="1" applyFill="1" applyBorder="1" applyAlignment="1">
      <alignment horizontal="center"/>
    </xf>
    <xf numFmtId="166" fontId="3" fillId="4" borderId="10" xfId="0" applyNumberFormat="1" applyFont="1" applyFill="1" applyBorder="1" applyAlignment="1">
      <alignment vertical="center"/>
    </xf>
    <xf numFmtId="167" fontId="3" fillId="4" borderId="12" xfId="2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65" fontId="0" fillId="0" borderId="0" xfId="1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165" fontId="3" fillId="0" borderId="1" xfId="0" applyNumberFormat="1" applyFont="1" applyBorder="1"/>
    <xf numFmtId="165" fontId="0" fillId="0" borderId="0" xfId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3" fontId="2" fillId="7" borderId="0" xfId="0" applyNumberFormat="1" applyFont="1" applyFill="1" applyBorder="1" applyAlignment="1">
      <alignment horizontal="center"/>
    </xf>
    <xf numFmtId="165" fontId="2" fillId="0" borderId="0" xfId="1" applyFont="1" applyFill="1" applyAlignment="1">
      <alignment horizontal="center"/>
    </xf>
    <xf numFmtId="4" fontId="0" fillId="0" borderId="0" xfId="0" applyNumberFormat="1"/>
    <xf numFmtId="16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Border="1"/>
    <xf numFmtId="4" fontId="0" fillId="0" borderId="0" xfId="0" applyNumberFormat="1" applyBorder="1"/>
    <xf numFmtId="0" fontId="0" fillId="0" borderId="0" xfId="0" applyBorder="1"/>
    <xf numFmtId="165" fontId="3" fillId="0" borderId="0" xfId="0" applyNumberFormat="1" applyFont="1" applyFill="1" applyBorder="1" applyAlignment="1">
      <alignment horizontal="center"/>
    </xf>
    <xf numFmtId="166" fontId="3" fillId="4" borderId="1" xfId="1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166" fontId="2" fillId="4" borderId="24" xfId="0" applyNumberFormat="1" applyFont="1" applyFill="1" applyBorder="1"/>
    <xf numFmtId="166" fontId="2" fillId="4" borderId="2" xfId="0" applyNumberFormat="1" applyFont="1" applyFill="1" applyBorder="1"/>
    <xf numFmtId="166" fontId="2" fillId="4" borderId="22" xfId="0" applyNumberFormat="1" applyFont="1" applyFill="1" applyBorder="1"/>
    <xf numFmtId="166" fontId="3" fillId="4" borderId="23" xfId="0" applyNumberFormat="1" applyFont="1" applyFill="1" applyBorder="1" applyAlignment="1">
      <alignment vertical="center"/>
    </xf>
    <xf numFmtId="166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3" fontId="3" fillId="9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2" fillId="0" borderId="5" xfId="1" applyNumberFormat="1" applyFont="1" applyBorder="1" applyAlignment="1">
      <alignment horizontal="center" vertical="center"/>
    </xf>
    <xf numFmtId="9" fontId="8" fillId="9" borderId="1" xfId="0" applyNumberFormat="1" applyFont="1" applyFill="1" applyBorder="1" applyAlignment="1">
      <alignment horizontal="center" vertical="center"/>
    </xf>
    <xf numFmtId="9" fontId="3" fillId="9" borderId="10" xfId="0" applyNumberFormat="1" applyFont="1" applyFill="1" applyBorder="1" applyAlignment="1">
      <alignment horizontal="center"/>
    </xf>
    <xf numFmtId="166" fontId="7" fillId="9" borderId="1" xfId="0" applyNumberFormat="1" applyFont="1" applyFill="1" applyBorder="1"/>
    <xf numFmtId="166" fontId="2" fillId="9" borderId="1" xfId="0" applyNumberFormat="1" applyFont="1" applyFill="1" applyBorder="1"/>
    <xf numFmtId="0" fontId="8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9" fillId="0" borderId="0" xfId="0" applyFont="1"/>
    <xf numFmtId="0" fontId="3" fillId="0" borderId="0" xfId="0" applyFont="1" applyBorder="1" applyAlignment="1">
      <alignment horizontal="center" wrapText="1"/>
    </xf>
    <xf numFmtId="166" fontId="2" fillId="0" borderId="25" xfId="1" applyNumberFormat="1" applyFont="1" applyBorder="1"/>
    <xf numFmtId="166" fontId="2" fillId="0" borderId="25" xfId="0" applyNumberFormat="1" applyFont="1" applyBorder="1"/>
    <xf numFmtId="4" fontId="3" fillId="4" borderId="26" xfId="0" applyNumberFormat="1" applyFont="1" applyFill="1" applyBorder="1" applyAlignment="1">
      <alignment horizontal="center"/>
    </xf>
    <xf numFmtId="166" fontId="3" fillId="4" borderId="27" xfId="1" applyNumberFormat="1" applyFont="1" applyFill="1" applyBorder="1" applyAlignment="1">
      <alignment horizontal="center" vertical="center" wrapText="1"/>
    </xf>
    <xf numFmtId="166" fontId="2" fillId="5" borderId="3" xfId="1" applyNumberFormat="1" applyFont="1" applyFill="1" applyBorder="1" applyAlignment="1">
      <alignment horizontal="center"/>
    </xf>
    <xf numFmtId="166" fontId="3" fillId="4" borderId="28" xfId="1" applyNumberFormat="1" applyFont="1" applyFill="1" applyBorder="1" applyAlignment="1">
      <alignment horizontal="center"/>
    </xf>
    <xf numFmtId="166" fontId="2" fillId="6" borderId="3" xfId="0" applyNumberFormat="1" applyFont="1" applyFill="1" applyBorder="1"/>
    <xf numFmtId="166" fontId="3" fillId="4" borderId="29" xfId="0" applyNumberFormat="1" applyFont="1" applyFill="1" applyBorder="1"/>
    <xf numFmtId="0" fontId="3" fillId="8" borderId="2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66" fontId="2" fillId="5" borderId="5" xfId="1" applyNumberFormat="1" applyFont="1" applyFill="1" applyBorder="1" applyAlignment="1">
      <alignment horizontal="center"/>
    </xf>
    <xf numFmtId="165" fontId="2" fillId="5" borderId="2" xfId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/>
    </xf>
    <xf numFmtId="167" fontId="2" fillId="0" borderId="1" xfId="2" applyNumberFormat="1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/>
    </xf>
    <xf numFmtId="166" fontId="3" fillId="10" borderId="1" xfId="1" applyNumberFormat="1" applyFont="1" applyFill="1" applyBorder="1" applyAlignment="1">
      <alignment horizontal="center"/>
    </xf>
    <xf numFmtId="165" fontId="3" fillId="10" borderId="2" xfId="0" applyNumberFormat="1" applyFont="1" applyFill="1" applyBorder="1" applyAlignment="1">
      <alignment horizontal="center"/>
    </xf>
    <xf numFmtId="166" fontId="3" fillId="10" borderId="19" xfId="1" applyNumberFormat="1" applyFont="1" applyFill="1" applyBorder="1" applyAlignment="1">
      <alignment horizontal="center"/>
    </xf>
    <xf numFmtId="165" fontId="3" fillId="10" borderId="20" xfId="0" applyNumberFormat="1" applyFont="1" applyFill="1" applyBorder="1" applyAlignment="1">
      <alignment horizontal="center"/>
    </xf>
    <xf numFmtId="165" fontId="3" fillId="10" borderId="31" xfId="0" applyNumberFormat="1" applyFont="1" applyFill="1" applyBorder="1" applyAlignment="1">
      <alignment horizontal="center"/>
    </xf>
    <xf numFmtId="3" fontId="3" fillId="8" borderId="1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165" fontId="2" fillId="0" borderId="2" xfId="1" applyFont="1" applyFill="1" applyBorder="1"/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9" fontId="2" fillId="0" borderId="0" xfId="2" applyFont="1"/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/>
    <xf numFmtId="166" fontId="2" fillId="5" borderId="13" xfId="1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9" fontId="3" fillId="8" borderId="1" xfId="2" applyFont="1" applyFill="1" applyBorder="1" applyAlignment="1">
      <alignment horizontal="center"/>
    </xf>
    <xf numFmtId="9" fontId="2" fillId="0" borderId="0" xfId="0" applyNumberFormat="1" applyFont="1"/>
    <xf numFmtId="10" fontId="2" fillId="0" borderId="1" xfId="2" applyNumberFormat="1" applyFont="1" applyFill="1" applyBorder="1" applyAlignment="1">
      <alignment horizontal="center"/>
    </xf>
    <xf numFmtId="10" fontId="3" fillId="8" borderId="1" xfId="2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3" fontId="3" fillId="11" borderId="1" xfId="0" applyNumberFormat="1" applyFont="1" applyFill="1" applyBorder="1" applyAlignment="1">
      <alignment horizontal="center"/>
    </xf>
    <xf numFmtId="167" fontId="3" fillId="11" borderId="1" xfId="2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165" fontId="2" fillId="0" borderId="2" xfId="1" applyFont="1" applyFill="1" applyBorder="1" applyAlignment="1">
      <alignment horizontal="center"/>
    </xf>
    <xf numFmtId="165" fontId="2" fillId="0" borderId="3" xfId="1" applyFont="1" applyFill="1" applyBorder="1" applyAlignment="1">
      <alignment horizontal="center"/>
    </xf>
    <xf numFmtId="165" fontId="2" fillId="0" borderId="3" xfId="1" applyFont="1" applyBorder="1" applyAlignment="1">
      <alignment horizontal="center"/>
    </xf>
    <xf numFmtId="165" fontId="2" fillId="0" borderId="3" xfId="1" applyFont="1" applyBorder="1"/>
    <xf numFmtId="165" fontId="2" fillId="0" borderId="3" xfId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10" borderId="2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view="pageBreakPreview" zoomScale="80" zoomScaleNormal="90" zoomScaleSheetLayoutView="80" workbookViewId="0">
      <selection activeCell="C43" sqref="C43"/>
    </sheetView>
  </sheetViews>
  <sheetFormatPr defaultColWidth="9.140625" defaultRowHeight="15" x14ac:dyDescent="0.25"/>
  <cols>
    <col min="1" max="1" width="4" style="27" customWidth="1"/>
    <col min="2" max="2" width="35.7109375" style="29" customWidth="1"/>
    <col min="3" max="3" width="23.85546875" style="31" customWidth="1"/>
    <col min="4" max="4" width="21.42578125" style="31" customWidth="1"/>
    <col min="5" max="5" width="21.7109375" style="31" customWidth="1"/>
    <col min="6" max="6" width="5.140625" style="33" customWidth="1"/>
    <col min="7" max="7" width="3.85546875" style="33" customWidth="1"/>
    <col min="8" max="8" width="31" style="29" customWidth="1"/>
    <col min="9" max="9" width="8.42578125" style="31" customWidth="1"/>
    <col min="10" max="10" width="22.5703125" style="31" customWidth="1"/>
    <col min="11" max="11" width="21.28515625" style="31" customWidth="1"/>
    <col min="12" max="12" width="6.5703125" style="30" customWidth="1"/>
    <col min="13" max="13" width="5.42578125" style="31" customWidth="1"/>
    <col min="14" max="14" width="25" style="29" customWidth="1"/>
    <col min="15" max="15" width="9.42578125" style="31" customWidth="1"/>
    <col min="16" max="16" width="22.7109375" style="29" customWidth="1"/>
    <col min="17" max="17" width="25.140625" style="29" customWidth="1"/>
    <col min="18" max="18" width="9.140625" style="29" customWidth="1"/>
    <col min="19" max="16384" width="9.140625" style="29"/>
  </cols>
  <sheetData>
    <row r="1" spans="1:29" s="28" customFormat="1" ht="45" customHeight="1" x14ac:dyDescent="0.25">
      <c r="A1" s="247" t="s">
        <v>15</v>
      </c>
      <c r="B1" s="247"/>
      <c r="C1" s="247"/>
      <c r="D1" s="247"/>
      <c r="E1" s="247"/>
      <c r="F1" s="17"/>
      <c r="G1" s="17"/>
      <c r="H1" s="244" t="s">
        <v>48</v>
      </c>
      <c r="I1" s="244"/>
      <c r="J1" s="244"/>
      <c r="K1" s="244"/>
      <c r="L1" s="26"/>
      <c r="M1" s="27"/>
      <c r="N1" s="247" t="s">
        <v>35</v>
      </c>
      <c r="O1" s="247"/>
      <c r="P1" s="247"/>
      <c r="Q1" s="247"/>
    </row>
    <row r="2" spans="1:29" s="27" customFormat="1" ht="46.15" customHeight="1" x14ac:dyDescent="0.25">
      <c r="A2" s="4" t="s">
        <v>0</v>
      </c>
      <c r="B2" s="4" t="s">
        <v>1</v>
      </c>
      <c r="C2" s="5" t="s">
        <v>40</v>
      </c>
      <c r="D2" s="5" t="s">
        <v>46</v>
      </c>
      <c r="E2" s="5" t="s">
        <v>41</v>
      </c>
      <c r="F2" s="8"/>
      <c r="G2" s="4" t="s">
        <v>0</v>
      </c>
      <c r="H2" s="4" t="s">
        <v>39</v>
      </c>
      <c r="I2" s="4" t="s">
        <v>16</v>
      </c>
      <c r="J2" s="5" t="s">
        <v>42</v>
      </c>
      <c r="K2" s="5" t="s">
        <v>43</v>
      </c>
      <c r="L2" s="17"/>
      <c r="M2" s="4" t="s">
        <v>0</v>
      </c>
      <c r="N2" s="4" t="s">
        <v>45</v>
      </c>
      <c r="O2" s="4" t="s">
        <v>16</v>
      </c>
      <c r="P2" s="4" t="s">
        <v>42</v>
      </c>
      <c r="Q2" s="4" t="s">
        <v>43</v>
      </c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x14ac:dyDescent="0.25">
      <c r="A3" s="6">
        <v>1</v>
      </c>
      <c r="B3" s="25" t="s">
        <v>2</v>
      </c>
      <c r="C3" s="11">
        <v>276917248.54000002</v>
      </c>
      <c r="D3" s="11"/>
      <c r="E3" s="11">
        <f>C3</f>
        <v>276917248.54000002</v>
      </c>
      <c r="F3" s="9"/>
      <c r="G3" s="35">
        <v>1</v>
      </c>
      <c r="H3" s="3" t="s">
        <v>17</v>
      </c>
      <c r="I3" s="12">
        <v>1691</v>
      </c>
      <c r="J3" s="13">
        <v>7757461837</v>
      </c>
      <c r="K3" s="13">
        <v>6586515966.9499998</v>
      </c>
      <c r="L3" s="14"/>
      <c r="M3" s="18">
        <v>1</v>
      </c>
      <c r="N3" s="1" t="s">
        <v>44</v>
      </c>
      <c r="O3" s="18">
        <v>153</v>
      </c>
      <c r="P3" s="15">
        <v>970121686</v>
      </c>
      <c r="Q3" s="15">
        <v>824603433.10000002</v>
      </c>
    </row>
    <row r="4" spans="1:29" x14ac:dyDescent="0.25">
      <c r="A4" s="6">
        <v>2</v>
      </c>
      <c r="B4" s="25" t="s">
        <v>36</v>
      </c>
      <c r="C4" s="11">
        <v>395965726.98000002</v>
      </c>
      <c r="D4" s="11"/>
      <c r="E4" s="11">
        <f>C4</f>
        <v>395965726.98000002</v>
      </c>
      <c r="F4" s="9"/>
      <c r="G4" s="35">
        <v>2</v>
      </c>
      <c r="H4" s="3" t="s">
        <v>10</v>
      </c>
      <c r="I4" s="12">
        <v>1060</v>
      </c>
      <c r="J4" s="13">
        <v>7407061598</v>
      </c>
      <c r="K4" s="13">
        <v>6290863268.3000002</v>
      </c>
      <c r="L4" s="14"/>
      <c r="M4" s="18">
        <v>2</v>
      </c>
      <c r="N4" s="1" t="s">
        <v>19</v>
      </c>
      <c r="O4" s="18">
        <v>329</v>
      </c>
      <c r="P4" s="15">
        <v>1957857298</v>
      </c>
      <c r="Q4" s="2">
        <v>1659298861.8999999</v>
      </c>
    </row>
    <row r="5" spans="1:29" x14ac:dyDescent="0.25">
      <c r="A5" s="6">
        <v>3</v>
      </c>
      <c r="B5" s="25" t="s">
        <v>3</v>
      </c>
      <c r="C5" s="11">
        <f>478568305.92</f>
        <v>478568305.92000002</v>
      </c>
      <c r="D5" s="11">
        <f>500000000+200000000</f>
        <v>700000000</v>
      </c>
      <c r="E5" s="11">
        <f>C5+D5</f>
        <v>1178568305.9200001</v>
      </c>
      <c r="F5" s="9"/>
      <c r="G5" s="35">
        <v>3</v>
      </c>
      <c r="H5" s="3" t="s">
        <v>5</v>
      </c>
      <c r="I5" s="12">
        <v>559</v>
      </c>
      <c r="J5" s="13">
        <v>2377019249</v>
      </c>
      <c r="K5" s="13">
        <v>2019463361.4000001</v>
      </c>
      <c r="L5" s="14"/>
      <c r="M5" s="18">
        <v>3</v>
      </c>
      <c r="N5" s="1" t="s">
        <v>20</v>
      </c>
      <c r="O5" s="18">
        <v>138</v>
      </c>
      <c r="P5" s="2">
        <v>779795628</v>
      </c>
      <c r="Q5" s="2">
        <v>662826286</v>
      </c>
    </row>
    <row r="6" spans="1:29" x14ac:dyDescent="0.25">
      <c r="A6" s="6">
        <v>4</v>
      </c>
      <c r="B6" s="25" t="s">
        <v>4</v>
      </c>
      <c r="C6" s="11">
        <v>184571152.56</v>
      </c>
      <c r="D6" s="11"/>
      <c r="E6" s="11">
        <f>C6</f>
        <v>184571152.56</v>
      </c>
      <c r="F6" s="9"/>
      <c r="G6" s="35">
        <v>4</v>
      </c>
      <c r="H6" s="3" t="s">
        <v>3</v>
      </c>
      <c r="I6" s="12">
        <v>290</v>
      </c>
      <c r="J6" s="13">
        <v>1403699197</v>
      </c>
      <c r="K6" s="13">
        <v>1191443417.6399999</v>
      </c>
      <c r="L6" s="14"/>
      <c r="M6" s="18">
        <v>4</v>
      </c>
      <c r="N6" s="1" t="s">
        <v>21</v>
      </c>
      <c r="O6" s="18">
        <v>210</v>
      </c>
      <c r="P6" s="2">
        <v>1079579281</v>
      </c>
      <c r="Q6" s="2">
        <v>917664388.53999996</v>
      </c>
    </row>
    <row r="7" spans="1:29" x14ac:dyDescent="0.25">
      <c r="A7" s="6">
        <v>5</v>
      </c>
      <c r="B7" s="25" t="s">
        <v>5</v>
      </c>
      <c r="C7" s="11">
        <v>660798611.88999999</v>
      </c>
      <c r="D7" s="11">
        <f>2000000000-C7</f>
        <v>1339201388.1100001</v>
      </c>
      <c r="E7" s="11">
        <f>C7+D7</f>
        <v>2000000000</v>
      </c>
      <c r="F7" s="9"/>
      <c r="G7" s="35">
        <v>5</v>
      </c>
      <c r="H7" s="3" t="s">
        <v>37</v>
      </c>
      <c r="I7" s="12">
        <v>66</v>
      </c>
      <c r="J7" s="13">
        <v>723600000</v>
      </c>
      <c r="K7" s="13">
        <v>615060000</v>
      </c>
      <c r="L7" s="14"/>
      <c r="M7" s="18">
        <v>5</v>
      </c>
      <c r="N7" s="1" t="s">
        <v>22</v>
      </c>
      <c r="O7" s="18">
        <v>246</v>
      </c>
      <c r="P7" s="2">
        <v>1405221030</v>
      </c>
      <c r="Q7" s="2">
        <v>1186831372.6000001</v>
      </c>
    </row>
    <row r="8" spans="1:29" x14ac:dyDescent="0.25">
      <c r="A8" s="6">
        <v>6</v>
      </c>
      <c r="B8" s="25" t="s">
        <v>6</v>
      </c>
      <c r="C8" s="11">
        <v>102157644.04000001</v>
      </c>
      <c r="D8" s="11"/>
      <c r="E8" s="11">
        <f>C8</f>
        <v>102157644.04000001</v>
      </c>
      <c r="F8" s="9"/>
      <c r="G8" s="35">
        <v>6</v>
      </c>
      <c r="H8" s="3" t="s">
        <v>47</v>
      </c>
      <c r="I8" s="12">
        <v>28</v>
      </c>
      <c r="J8" s="13">
        <v>233200000</v>
      </c>
      <c r="K8" s="13">
        <v>198220000</v>
      </c>
      <c r="L8" s="14"/>
      <c r="M8" s="18">
        <v>6</v>
      </c>
      <c r="N8" s="1" t="s">
        <v>23</v>
      </c>
      <c r="O8" s="18">
        <v>131</v>
      </c>
      <c r="P8" s="2">
        <v>870511090</v>
      </c>
      <c r="Q8" s="2">
        <v>739934426.5</v>
      </c>
    </row>
    <row r="9" spans="1:29" x14ac:dyDescent="0.25">
      <c r="A9" s="6">
        <v>7</v>
      </c>
      <c r="B9" s="25" t="s">
        <v>7</v>
      </c>
      <c r="C9" s="11">
        <v>174391095.78</v>
      </c>
      <c r="D9" s="11">
        <f>325000000-C9</f>
        <v>150608904.22</v>
      </c>
      <c r="E9" s="11">
        <f>C9+D9</f>
        <v>325000000</v>
      </c>
      <c r="F9" s="9"/>
      <c r="G9" s="35">
        <v>7</v>
      </c>
      <c r="H9" s="3" t="s">
        <v>7</v>
      </c>
      <c r="I9" s="12">
        <v>18</v>
      </c>
      <c r="J9" s="13">
        <v>133306062</v>
      </c>
      <c r="K9" s="13">
        <v>113310152.7</v>
      </c>
      <c r="L9" s="14"/>
      <c r="M9" s="18">
        <v>7</v>
      </c>
      <c r="N9" s="1" t="s">
        <v>24</v>
      </c>
      <c r="O9" s="18">
        <v>224</v>
      </c>
      <c r="P9" s="2">
        <v>1006568885</v>
      </c>
      <c r="Q9" s="2">
        <v>855583552.25</v>
      </c>
    </row>
    <row r="10" spans="1:29" x14ac:dyDescent="0.25">
      <c r="A10" s="6">
        <v>8</v>
      </c>
      <c r="B10" s="25" t="s">
        <v>8</v>
      </c>
      <c r="C10" s="11">
        <v>1175773243.3299999</v>
      </c>
      <c r="D10" s="11">
        <f>3800000000+2500000000</f>
        <v>6300000000</v>
      </c>
      <c r="E10" s="11">
        <f>C10+D10</f>
        <v>7475773243.3299999</v>
      </c>
      <c r="F10" s="9"/>
      <c r="G10" s="35">
        <v>8</v>
      </c>
      <c r="H10" s="3" t="s">
        <v>4</v>
      </c>
      <c r="I10" s="12">
        <v>17</v>
      </c>
      <c r="J10" s="13">
        <v>83500000</v>
      </c>
      <c r="K10" s="13">
        <v>70975000</v>
      </c>
      <c r="L10" s="14"/>
      <c r="M10" s="18">
        <v>8</v>
      </c>
      <c r="N10" s="1" t="s">
        <v>25</v>
      </c>
      <c r="O10" s="18">
        <v>212</v>
      </c>
      <c r="P10" s="2">
        <v>1074066078</v>
      </c>
      <c r="Q10" s="2">
        <v>911955266.05000007</v>
      </c>
    </row>
    <row r="11" spans="1:29" x14ac:dyDescent="0.25">
      <c r="A11" s="6">
        <v>9</v>
      </c>
      <c r="B11" s="25" t="s">
        <v>9</v>
      </c>
      <c r="C11" s="11">
        <v>404131576.57999998</v>
      </c>
      <c r="D11" s="11"/>
      <c r="E11" s="11">
        <f>C11</f>
        <v>404131576.57999998</v>
      </c>
      <c r="F11" s="9"/>
      <c r="G11" s="35">
        <v>9</v>
      </c>
      <c r="H11" s="3" t="s">
        <v>9</v>
      </c>
      <c r="I11" s="12">
        <v>10</v>
      </c>
      <c r="J11" s="13">
        <v>73960500</v>
      </c>
      <c r="K11" s="13">
        <v>62866425</v>
      </c>
      <c r="L11" s="14"/>
      <c r="M11" s="18">
        <v>9</v>
      </c>
      <c r="N11" s="1" t="s">
        <v>26</v>
      </c>
      <c r="O11" s="18">
        <v>167</v>
      </c>
      <c r="P11" s="2">
        <v>964986746</v>
      </c>
      <c r="Q11" s="2">
        <v>820238734.39999998</v>
      </c>
    </row>
    <row r="12" spans="1:29" x14ac:dyDescent="0.25">
      <c r="A12" s="6">
        <v>10</v>
      </c>
      <c r="B12" s="25" t="s">
        <v>10</v>
      </c>
      <c r="C12" s="11">
        <v>1284610107.5599999</v>
      </c>
      <c r="D12" s="11">
        <f>6500000000-C12</f>
        <v>5215389892.4400005</v>
      </c>
      <c r="E12" s="11">
        <f>C12+D12</f>
        <v>6500000000</v>
      </c>
      <c r="F12" s="9"/>
      <c r="G12" s="35">
        <v>10</v>
      </c>
      <c r="H12" s="3" t="s">
        <v>38</v>
      </c>
      <c r="I12" s="12">
        <v>9</v>
      </c>
      <c r="J12" s="13">
        <v>136000000</v>
      </c>
      <c r="K12" s="13">
        <v>115600000</v>
      </c>
      <c r="M12" s="18">
        <v>10</v>
      </c>
      <c r="N12" s="1" t="s">
        <v>27</v>
      </c>
      <c r="O12" s="18">
        <v>444</v>
      </c>
      <c r="P12" s="2">
        <v>2115171104</v>
      </c>
      <c r="Q12" s="2">
        <v>1797895438.4000001</v>
      </c>
    </row>
    <row r="13" spans="1:29" x14ac:dyDescent="0.25">
      <c r="A13" s="6">
        <v>11</v>
      </c>
      <c r="B13" s="25" t="s">
        <v>11</v>
      </c>
      <c r="C13" s="11">
        <v>440324153.75</v>
      </c>
      <c r="D13" s="11">
        <v>500000000</v>
      </c>
      <c r="E13" s="11">
        <f>C13+D13</f>
        <v>940324153.75</v>
      </c>
      <c r="F13" s="9"/>
      <c r="G13" s="35">
        <v>11</v>
      </c>
      <c r="H13" s="3" t="s">
        <v>6</v>
      </c>
      <c r="I13" s="12">
        <v>1</v>
      </c>
      <c r="J13" s="13">
        <v>5000000</v>
      </c>
      <c r="K13" s="13">
        <v>4250000</v>
      </c>
      <c r="M13" s="18">
        <v>11</v>
      </c>
      <c r="N13" s="1" t="s">
        <v>28</v>
      </c>
      <c r="O13" s="18">
        <v>314</v>
      </c>
      <c r="P13" s="2">
        <v>1705527912</v>
      </c>
      <c r="Q13" s="2">
        <v>1449698725.3500004</v>
      </c>
    </row>
    <row r="14" spans="1:29" x14ac:dyDescent="0.25">
      <c r="A14" s="6">
        <v>12</v>
      </c>
      <c r="B14" s="25" t="s">
        <v>12</v>
      </c>
      <c r="C14" s="11">
        <v>102157644.04000001</v>
      </c>
      <c r="D14" s="11"/>
      <c r="E14" s="11">
        <f>C14</f>
        <v>102157644.04000001</v>
      </c>
      <c r="F14" s="9"/>
      <c r="G14" s="245" t="s">
        <v>18</v>
      </c>
      <c r="H14" s="246"/>
      <c r="I14" s="16">
        <f>SUM(I3:I13)</f>
        <v>3749</v>
      </c>
      <c r="J14" s="20">
        <f>SUM(J3:J13)</f>
        <v>20333808443</v>
      </c>
      <c r="K14" s="20">
        <f>SUM(K3:K13)</f>
        <v>17268567591.989998</v>
      </c>
      <c r="M14" s="18">
        <v>12</v>
      </c>
      <c r="N14" s="1" t="s">
        <v>29</v>
      </c>
      <c r="O14" s="18">
        <v>161</v>
      </c>
      <c r="P14" s="2">
        <v>854034376</v>
      </c>
      <c r="Q14" s="2">
        <v>725902219.20000005</v>
      </c>
    </row>
    <row r="15" spans="1:29" x14ac:dyDescent="0.25">
      <c r="A15" s="6">
        <v>13</v>
      </c>
      <c r="B15" s="3" t="s">
        <v>13</v>
      </c>
      <c r="C15" s="11">
        <v>102157644.04000001</v>
      </c>
      <c r="D15" s="11">
        <f>60000000</f>
        <v>60000000</v>
      </c>
      <c r="E15" s="11">
        <f>C15+D15</f>
        <v>162157644.04000002</v>
      </c>
      <c r="F15" s="9"/>
      <c r="G15" s="9"/>
      <c r="J15" s="32"/>
      <c r="K15" s="32"/>
      <c r="M15" s="18">
        <v>13</v>
      </c>
      <c r="N15" s="1" t="s">
        <v>30</v>
      </c>
      <c r="O15" s="18">
        <v>76</v>
      </c>
      <c r="P15" s="2">
        <v>612303794</v>
      </c>
      <c r="Q15" s="2">
        <v>520458224.89999998</v>
      </c>
    </row>
    <row r="16" spans="1:29" x14ac:dyDescent="0.25">
      <c r="A16" s="245" t="s">
        <v>14</v>
      </c>
      <c r="B16" s="246"/>
      <c r="C16" s="7">
        <f>SUM(C3:C15)</f>
        <v>5782524155.0100002</v>
      </c>
      <c r="D16" s="7">
        <f>SUM(D3:D15)</f>
        <v>14265200184.77</v>
      </c>
      <c r="E16" s="7">
        <f>SUM(E3:E15)</f>
        <v>20047724339.779999</v>
      </c>
      <c r="F16" s="10"/>
      <c r="G16" s="9"/>
      <c r="J16" s="32"/>
      <c r="K16" s="32"/>
      <c r="M16" s="18">
        <v>14</v>
      </c>
      <c r="N16" s="1" t="s">
        <v>31</v>
      </c>
      <c r="O16" s="18">
        <v>76</v>
      </c>
      <c r="P16" s="2">
        <v>327422515</v>
      </c>
      <c r="Q16" s="2">
        <v>278309137.14999998</v>
      </c>
    </row>
    <row r="17" spans="1:17" x14ac:dyDescent="0.25">
      <c r="G17" s="9"/>
      <c r="M17" s="18">
        <v>15</v>
      </c>
      <c r="N17" s="1" t="s">
        <v>32</v>
      </c>
      <c r="O17" s="18">
        <v>140</v>
      </c>
      <c r="P17" s="2">
        <v>741030715</v>
      </c>
      <c r="Q17" s="2">
        <v>629876007.75</v>
      </c>
    </row>
    <row r="18" spans="1:17" x14ac:dyDescent="0.25">
      <c r="G18" s="9"/>
      <c r="I18" s="29"/>
      <c r="M18" s="18">
        <v>16</v>
      </c>
      <c r="N18" s="1" t="s">
        <v>33</v>
      </c>
      <c r="O18" s="18">
        <v>382</v>
      </c>
      <c r="P18" s="2">
        <v>1999811293</v>
      </c>
      <c r="Q18" s="2">
        <v>1698139599.05</v>
      </c>
    </row>
    <row r="19" spans="1:17" x14ac:dyDescent="0.25">
      <c r="G19" s="10"/>
      <c r="M19" s="12">
        <v>17</v>
      </c>
      <c r="N19" s="3" t="s">
        <v>34</v>
      </c>
      <c r="O19" s="12">
        <v>346</v>
      </c>
      <c r="P19" s="36">
        <v>1869794012</v>
      </c>
      <c r="Q19" s="36">
        <v>1589324910.0500002</v>
      </c>
    </row>
    <row r="20" spans="1:17" x14ac:dyDescent="0.25">
      <c r="J20" s="150">
        <f>K14*30%</f>
        <v>5180570277.5969992</v>
      </c>
      <c r="M20" s="21"/>
      <c r="N20" s="22" t="s">
        <v>18</v>
      </c>
      <c r="O20" s="24">
        <f>SUM(O3:O19)</f>
        <v>3749</v>
      </c>
      <c r="P20" s="23">
        <f>SUM(P3:P19)</f>
        <v>20333803443</v>
      </c>
      <c r="Q20" s="23">
        <f>SUM(Q3:Q19)</f>
        <v>17268540583.189999</v>
      </c>
    </row>
    <row r="21" spans="1:17" x14ac:dyDescent="0.25">
      <c r="M21" s="19"/>
      <c r="N21" s="30"/>
    </row>
    <row r="22" spans="1:17" x14ac:dyDescent="0.25">
      <c r="M22" s="19"/>
      <c r="N22" s="30"/>
    </row>
    <row r="23" spans="1:17" x14ac:dyDescent="0.25">
      <c r="M23" s="19"/>
      <c r="N23" s="30"/>
    </row>
    <row r="26" spans="1:17" x14ac:dyDescent="0.25">
      <c r="H26" s="34"/>
    </row>
    <row r="29" spans="1:17" x14ac:dyDescent="0.25">
      <c r="A29" s="29"/>
      <c r="C29" s="29"/>
      <c r="D29" s="29"/>
      <c r="E29" s="29"/>
    </row>
    <row r="30" spans="1:17" x14ac:dyDescent="0.25">
      <c r="A30" s="29"/>
      <c r="C30" s="29"/>
      <c r="D30" s="29"/>
      <c r="E30" s="29"/>
    </row>
    <row r="31" spans="1:17" x14ac:dyDescent="0.25">
      <c r="A31" s="29"/>
      <c r="C31" s="29"/>
      <c r="D31" s="29"/>
      <c r="E31" s="29"/>
    </row>
    <row r="32" spans="1:17" x14ac:dyDescent="0.25">
      <c r="A32" s="29"/>
      <c r="C32" s="29"/>
      <c r="D32" s="29"/>
      <c r="E32" s="29"/>
    </row>
    <row r="33" spans="1:5" x14ac:dyDescent="0.25">
      <c r="A33" s="29"/>
      <c r="C33" s="29"/>
      <c r="D33" s="29"/>
      <c r="E33" s="29"/>
    </row>
    <row r="34" spans="1:5" x14ac:dyDescent="0.25">
      <c r="A34" s="29"/>
      <c r="C34" s="29"/>
      <c r="D34" s="29"/>
      <c r="E34" s="29"/>
    </row>
  </sheetData>
  <mergeCells count="5">
    <mergeCell ref="H1:K1"/>
    <mergeCell ref="A16:B16"/>
    <mergeCell ref="N1:Q1"/>
    <mergeCell ref="A1:E1"/>
    <mergeCell ref="G14:H14"/>
  </mergeCells>
  <pageMargins left="0.70866141732283472" right="0.70866141732283472" top="0.74803149606299213" bottom="0.74803149606299213" header="0.31496062992125984" footer="0.31496062992125984"/>
  <pageSetup paperSize="9" scale="44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B1" workbookViewId="0">
      <selection activeCell="R25" sqref="R25"/>
    </sheetView>
  </sheetViews>
  <sheetFormatPr defaultRowHeight="15" x14ac:dyDescent="0.25"/>
  <cols>
    <col min="1" max="1" width="6.28515625" style="29" hidden="1" customWidth="1"/>
    <col min="2" max="2" width="5.28515625" style="29" customWidth="1"/>
    <col min="3" max="3" width="40.140625" style="29" bestFit="1" customWidth="1"/>
    <col min="4" max="4" width="8.140625" style="29" hidden="1" customWidth="1"/>
    <col min="5" max="5" width="24.28515625" style="29" hidden="1" customWidth="1"/>
    <col min="6" max="6" width="25.28515625" style="29" hidden="1" customWidth="1"/>
    <col min="7" max="7" width="8.140625" style="29" hidden="1" customWidth="1"/>
    <col min="8" max="8" width="24.28515625" style="29" hidden="1" customWidth="1"/>
    <col min="9" max="9" width="25.28515625" style="29" hidden="1" customWidth="1"/>
    <col min="10" max="10" width="19.5703125" style="29" bestFit="1" customWidth="1"/>
    <col min="11" max="11" width="24.28515625" style="29" bestFit="1" customWidth="1"/>
    <col min="12" max="12" width="25.28515625" style="29" bestFit="1" customWidth="1"/>
    <col min="13" max="13" width="18.140625" style="29" customWidth="1"/>
    <col min="14" max="14" width="16.85546875" style="29" customWidth="1"/>
    <col min="15" max="15" width="19" style="29" hidden="1" customWidth="1"/>
    <col min="16" max="16" width="19.42578125" style="29" customWidth="1"/>
    <col min="17" max="17" width="19.42578125" style="29" hidden="1" customWidth="1"/>
    <col min="18" max="18" width="19.42578125" style="29" customWidth="1"/>
    <col min="19" max="19" width="20.5703125" style="29" customWidth="1"/>
    <col min="20" max="20" width="17.42578125" style="29" customWidth="1"/>
    <col min="21" max="21" width="19.5703125" style="29" customWidth="1"/>
    <col min="22" max="22" width="14.5703125" style="29" customWidth="1"/>
    <col min="23" max="23" width="17.7109375" style="29" customWidth="1"/>
    <col min="24" max="24" width="18.28515625" style="29" customWidth="1"/>
    <col min="25" max="16384" width="9.140625" style="29"/>
  </cols>
  <sheetData>
    <row r="1" spans="2:20" x14ac:dyDescent="0.25">
      <c r="B1" s="195" t="s">
        <v>94</v>
      </c>
    </row>
    <row r="2" spans="2:20" ht="57" x14ac:dyDescent="0.25">
      <c r="B2" s="231" t="s">
        <v>0</v>
      </c>
      <c r="C2" s="231" t="s">
        <v>39</v>
      </c>
      <c r="D2" s="232" t="s">
        <v>16</v>
      </c>
      <c r="E2" s="232" t="s">
        <v>42</v>
      </c>
      <c r="F2" s="232" t="s">
        <v>43</v>
      </c>
      <c r="G2" s="232" t="s">
        <v>16</v>
      </c>
      <c r="H2" s="232" t="s">
        <v>42</v>
      </c>
      <c r="I2" s="232" t="s">
        <v>43</v>
      </c>
      <c r="J2" s="233" t="s">
        <v>95</v>
      </c>
      <c r="K2" s="231" t="s">
        <v>42</v>
      </c>
      <c r="L2" s="231" t="s">
        <v>43</v>
      </c>
      <c r="M2" s="233" t="s">
        <v>96</v>
      </c>
      <c r="N2" s="233" t="s">
        <v>97</v>
      </c>
      <c r="O2" s="233" t="s">
        <v>98</v>
      </c>
      <c r="P2" s="233" t="s">
        <v>99</v>
      </c>
      <c r="Q2" s="158" t="s">
        <v>100</v>
      </c>
      <c r="R2" s="233" t="s">
        <v>133</v>
      </c>
    </row>
    <row r="3" spans="2:20" x14ac:dyDescent="0.25">
      <c r="B3" s="197">
        <v>1</v>
      </c>
      <c r="C3" s="25" t="s">
        <v>8</v>
      </c>
      <c r="D3" s="12">
        <v>1691</v>
      </c>
      <c r="E3" s="13">
        <v>7757461837</v>
      </c>
      <c r="F3" s="13">
        <v>6586515966.9499998</v>
      </c>
      <c r="G3" s="12">
        <v>5009</v>
      </c>
      <c r="H3" s="13">
        <v>22205064017.399998</v>
      </c>
      <c r="I3" s="13">
        <v>18859434163.800007</v>
      </c>
      <c r="J3" s="198">
        <f>'ИТОГО 20-21-22-23гг. '!O3</f>
        <v>14034</v>
      </c>
      <c r="K3" s="87">
        <f>'ИТОГО 20-21-22-23гг. '!P3</f>
        <v>85040643869.399994</v>
      </c>
      <c r="L3" s="199">
        <f>'ИТОГО 20-21-22-23гг. '!Q3</f>
        <v>72237466331.190002</v>
      </c>
      <c r="M3" s="200">
        <v>841</v>
      </c>
      <c r="N3" s="200">
        <v>4761728680.6499996</v>
      </c>
      <c r="O3" s="200">
        <v>2869831361.2299981</v>
      </c>
      <c r="P3" s="200">
        <v>4044521568.6999998</v>
      </c>
      <c r="Q3" s="201">
        <v>2728168676.2699966</v>
      </c>
      <c r="R3" s="202">
        <f>M3/J3</f>
        <v>5.9925894256804904E-2</v>
      </c>
      <c r="S3" s="218">
        <f>P3/P15</f>
        <v>0.47198250133025949</v>
      </c>
      <c r="T3" s="218">
        <f>N3/N15</f>
        <v>0.47057512004743285</v>
      </c>
    </row>
    <row r="4" spans="2:20" x14ac:dyDescent="0.25">
      <c r="B4" s="197">
        <v>2</v>
      </c>
      <c r="C4" s="25" t="s">
        <v>125</v>
      </c>
      <c r="D4" s="12">
        <v>1060</v>
      </c>
      <c r="E4" s="13">
        <v>7407061598</v>
      </c>
      <c r="F4" s="13">
        <v>6290863268.3000002</v>
      </c>
      <c r="G4" s="12">
        <v>4363</v>
      </c>
      <c r="H4" s="13">
        <v>28307435253</v>
      </c>
      <c r="I4" s="13">
        <v>24076174165.049999</v>
      </c>
      <c r="J4" s="198">
        <f>'ИТОГО 20-21-22-23гг. '!O4</f>
        <v>5423</v>
      </c>
      <c r="K4" s="87">
        <f>'ИТОГО 20-21-22-23гг. '!P4</f>
        <v>35714496851</v>
      </c>
      <c r="L4" s="199">
        <f>'ИТОГО 20-21-22-23гг. '!Q4</f>
        <v>30367037433.349998</v>
      </c>
      <c r="M4" s="200">
        <v>283</v>
      </c>
      <c r="N4" s="200">
        <v>2108514000</v>
      </c>
      <c r="O4" s="200">
        <v>1245751170.3100002</v>
      </c>
      <c r="P4" s="200">
        <v>1792236900</v>
      </c>
      <c r="Q4" s="201">
        <v>1128601314.1099992</v>
      </c>
      <c r="R4" s="202">
        <f t="shared" ref="R4:R13" si="0">M4/J4</f>
        <v>5.2185137377835145E-2</v>
      </c>
      <c r="S4" s="218">
        <f>P4/P15</f>
        <v>0.20914821213582571</v>
      </c>
      <c r="T4" s="218">
        <f>N4/N15</f>
        <v>0.20837269303135739</v>
      </c>
    </row>
    <row r="5" spans="2:20" x14ac:dyDescent="0.25">
      <c r="B5" s="197">
        <v>3</v>
      </c>
      <c r="C5" s="25" t="s">
        <v>5</v>
      </c>
      <c r="D5" s="12">
        <v>559</v>
      </c>
      <c r="E5" s="13">
        <v>2377019249</v>
      </c>
      <c r="F5" s="13">
        <v>2019463361.4000001</v>
      </c>
      <c r="G5" s="12">
        <v>2974</v>
      </c>
      <c r="H5" s="13">
        <v>14388977649</v>
      </c>
      <c r="I5" s="13">
        <v>12172966928.07</v>
      </c>
      <c r="J5" s="198">
        <f>'ИТОГО 20-21-22-23гг. '!O5</f>
        <v>15279</v>
      </c>
      <c r="K5" s="87">
        <f>'ИТОГО 20-21-22-23гг. '!P5</f>
        <v>93882793741</v>
      </c>
      <c r="L5" s="199">
        <f>'ИТОГО 20-21-22-23гг. '!Q5</f>
        <v>63855669127.169998</v>
      </c>
      <c r="M5" s="200">
        <v>298</v>
      </c>
      <c r="N5" s="200">
        <v>2064365380</v>
      </c>
      <c r="O5" s="200">
        <v>1484689957.6399999</v>
      </c>
      <c r="P5" s="200">
        <v>1746455810.45</v>
      </c>
      <c r="Q5" s="201">
        <v>1299670344.9000008</v>
      </c>
      <c r="R5" s="202">
        <f t="shared" si="0"/>
        <v>1.9503894233915832E-2</v>
      </c>
      <c r="S5" s="218">
        <f>P5/P15</f>
        <v>0.20380570801206135</v>
      </c>
      <c r="T5" s="218">
        <f>N5/N15</f>
        <v>0.20400973084897775</v>
      </c>
    </row>
    <row r="6" spans="2:20" x14ac:dyDescent="0.25">
      <c r="B6" s="197">
        <v>4</v>
      </c>
      <c r="C6" s="25" t="s">
        <v>3</v>
      </c>
      <c r="D6" s="12">
        <v>290</v>
      </c>
      <c r="E6" s="13">
        <v>1403699197</v>
      </c>
      <c r="F6" s="13">
        <v>1191443417.6399999</v>
      </c>
      <c r="G6" s="12">
        <v>298</v>
      </c>
      <c r="H6" s="13">
        <v>2124897290</v>
      </c>
      <c r="I6" s="13">
        <v>1806162696.5</v>
      </c>
      <c r="J6" s="198">
        <f>'ИТОГО 20-21-22-23гг. '!O6</f>
        <v>588</v>
      </c>
      <c r="K6" s="87">
        <f>'ИТОГО 20-21-22-23гг. '!P6</f>
        <v>3528596487</v>
      </c>
      <c r="L6" s="199">
        <f>'ИТОГО 20-21-22-23гг. '!Q6</f>
        <v>2997606114.1399999</v>
      </c>
      <c r="M6" s="200"/>
      <c r="N6" s="200"/>
      <c r="O6" s="200"/>
      <c r="P6" s="200"/>
      <c r="Q6" s="200"/>
      <c r="R6" s="202">
        <f t="shared" si="0"/>
        <v>0</v>
      </c>
      <c r="S6" s="218">
        <v>0</v>
      </c>
      <c r="T6" s="218">
        <f>0</f>
        <v>0</v>
      </c>
    </row>
    <row r="7" spans="2:20" x14ac:dyDescent="0.25">
      <c r="B7" s="197">
        <v>5</v>
      </c>
      <c r="C7" s="25" t="s">
        <v>37</v>
      </c>
      <c r="D7" s="12">
        <v>66</v>
      </c>
      <c r="E7" s="13">
        <v>723600000</v>
      </c>
      <c r="F7" s="13">
        <v>615060000</v>
      </c>
      <c r="G7" s="12">
        <v>346</v>
      </c>
      <c r="H7" s="13">
        <v>4513685532.46</v>
      </c>
      <c r="I7" s="13">
        <v>3795396915.29</v>
      </c>
      <c r="J7" s="198">
        <f>'ИТОГО 20-21-22-23гг. '!O7</f>
        <v>1452</v>
      </c>
      <c r="K7" s="87">
        <f>'ИТОГО 20-21-22-23гг. '!P7</f>
        <v>19635050319.459999</v>
      </c>
      <c r="L7" s="199">
        <f>'ИТОГО 20-21-22-23гг. '!Q7</f>
        <v>14478558904.189999</v>
      </c>
      <c r="M7" s="200">
        <v>65</v>
      </c>
      <c r="N7" s="200">
        <v>906450000</v>
      </c>
      <c r="O7" s="200">
        <v>691338942.83999991</v>
      </c>
      <c r="P7" s="200">
        <v>749755700</v>
      </c>
      <c r="Q7" s="201">
        <v>589044832.57999992</v>
      </c>
      <c r="R7" s="202">
        <f t="shared" si="0"/>
        <v>4.4765840220385676E-2</v>
      </c>
      <c r="S7" s="218">
        <f>P7/P15</f>
        <v>8.7494049583313735E-2</v>
      </c>
      <c r="T7" s="218">
        <f>N7/N15</f>
        <v>8.9579404072381741E-2</v>
      </c>
    </row>
    <row r="8" spans="2:20" x14ac:dyDescent="0.25">
      <c r="B8" s="197">
        <v>6</v>
      </c>
      <c r="C8" s="25" t="s">
        <v>47</v>
      </c>
      <c r="D8" s="12">
        <v>28</v>
      </c>
      <c r="E8" s="13">
        <v>233200000</v>
      </c>
      <c r="F8" s="13">
        <v>198220000</v>
      </c>
      <c r="G8" s="12">
        <v>84</v>
      </c>
      <c r="H8" s="13">
        <v>710250000</v>
      </c>
      <c r="I8" s="13">
        <v>522736066</v>
      </c>
      <c r="J8" s="198">
        <f>'ИТОГО 20-21-22-23гг. '!O8</f>
        <v>381</v>
      </c>
      <c r="K8" s="87">
        <f>'ИТОГО 20-21-22-23гг. '!P8</f>
        <v>4400501000</v>
      </c>
      <c r="L8" s="199">
        <f>'ИТОГО 20-21-22-23гг. '!Q8</f>
        <v>3629289266</v>
      </c>
      <c r="M8" s="200">
        <v>6</v>
      </c>
      <c r="N8" s="200">
        <v>87500000</v>
      </c>
      <c r="O8" s="200">
        <v>61004125.990000002</v>
      </c>
      <c r="P8" s="200">
        <v>74375000</v>
      </c>
      <c r="Q8" s="200">
        <v>55320139.969999999</v>
      </c>
      <c r="R8" s="202">
        <f t="shared" si="0"/>
        <v>1.5748031496062992E-2</v>
      </c>
      <c r="S8" s="218">
        <f>P8/P15</f>
        <v>8.6793203943083836E-3</v>
      </c>
      <c r="T8" s="218">
        <f>N8/N15</f>
        <v>8.6471375766268427E-3</v>
      </c>
    </row>
    <row r="9" spans="2:20" x14ac:dyDescent="0.25">
      <c r="B9" s="197">
        <v>7</v>
      </c>
      <c r="C9" s="25" t="s">
        <v>7</v>
      </c>
      <c r="D9" s="12">
        <v>18</v>
      </c>
      <c r="E9" s="13">
        <v>133306062</v>
      </c>
      <c r="F9" s="13">
        <v>113310152.7</v>
      </c>
      <c r="G9" s="12">
        <v>242</v>
      </c>
      <c r="H9" s="13">
        <v>2011669580</v>
      </c>
      <c r="I9" s="13">
        <v>1700765943</v>
      </c>
      <c r="J9" s="198">
        <f>'ИТОГО 20-21-22-23гг. '!O9</f>
        <v>4420000</v>
      </c>
      <c r="K9" s="87">
        <f>'ИТОГО 20-21-22-23гг. '!P9</f>
        <v>5125438783</v>
      </c>
      <c r="L9" s="199">
        <f>'ИТОГО 20-21-22-23гг. '!Q9</f>
        <v>3318939760.9499998</v>
      </c>
      <c r="M9" s="200">
        <v>12</v>
      </c>
      <c r="N9" s="200">
        <v>110440400</v>
      </c>
      <c r="O9" s="200">
        <v>66525955.189999998</v>
      </c>
      <c r="P9" s="200">
        <v>93874340</v>
      </c>
      <c r="Q9" s="200">
        <v>58695909.24000001</v>
      </c>
      <c r="R9" s="202">
        <f t="shared" si="0"/>
        <v>2.7149321266968327E-6</v>
      </c>
      <c r="S9" s="218">
        <f>P9/P15</f>
        <v>1.095482989800658E-2</v>
      </c>
      <c r="T9" s="218">
        <f>N9/N15</f>
        <v>1.0914209517916563E-2</v>
      </c>
    </row>
    <row r="10" spans="2:20" x14ac:dyDescent="0.25">
      <c r="B10" s="197">
        <v>8</v>
      </c>
      <c r="C10" s="25" t="s">
        <v>4</v>
      </c>
      <c r="D10" s="12">
        <v>17</v>
      </c>
      <c r="E10" s="13">
        <v>83500000</v>
      </c>
      <c r="F10" s="13">
        <v>70975000</v>
      </c>
      <c r="G10" s="12">
        <v>8</v>
      </c>
      <c r="H10" s="13">
        <v>109056073</v>
      </c>
      <c r="I10" s="13">
        <v>92697662.049999997</v>
      </c>
      <c r="J10" s="198">
        <f>'ИТОГО 20-21-22-23гг. '!O10</f>
        <v>25</v>
      </c>
      <c r="K10" s="87">
        <f>'ИТОГО 20-21-22-23гг. '!P10</f>
        <v>192556073</v>
      </c>
      <c r="L10" s="199">
        <f>'ИТОГО 20-21-22-23гг. '!Q10</f>
        <v>163672662.05000001</v>
      </c>
      <c r="M10" s="200"/>
      <c r="N10" s="200"/>
      <c r="O10" s="200"/>
      <c r="P10" s="200"/>
      <c r="Q10" s="200"/>
      <c r="R10" s="202">
        <f t="shared" si="0"/>
        <v>0</v>
      </c>
      <c r="S10" s="218">
        <v>0</v>
      </c>
      <c r="T10" s="218">
        <v>0</v>
      </c>
    </row>
    <row r="11" spans="2:20" x14ac:dyDescent="0.25">
      <c r="B11" s="197">
        <v>9</v>
      </c>
      <c r="C11" s="25" t="s">
        <v>9</v>
      </c>
      <c r="D11" s="12">
        <v>10</v>
      </c>
      <c r="E11" s="13">
        <v>73960500</v>
      </c>
      <c r="F11" s="13">
        <v>62866425</v>
      </c>
      <c r="G11" s="12">
        <v>50</v>
      </c>
      <c r="H11" s="13">
        <v>460550000</v>
      </c>
      <c r="I11" s="13">
        <v>367977700</v>
      </c>
      <c r="J11" s="198">
        <f>'ИТОГО 20-21-22-23гг. '!O11</f>
        <v>135</v>
      </c>
      <c r="K11" s="87">
        <f>'ИТОГО 20-21-22-23гг. '!P11</f>
        <v>1612434900</v>
      </c>
      <c r="L11" s="199">
        <f>'ИТОГО 20-21-22-23гг. '!Q11</f>
        <v>1103435202</v>
      </c>
      <c r="M11" s="200">
        <v>9</v>
      </c>
      <c r="N11" s="200">
        <v>31957000</v>
      </c>
      <c r="O11" s="200">
        <v>15284949.269999998</v>
      </c>
      <c r="P11" s="200">
        <v>27200000</v>
      </c>
      <c r="Q11" s="200">
        <v>19059078.419999998</v>
      </c>
      <c r="R11" s="202">
        <f>M11/J11</f>
        <v>6.6666666666666666E-2</v>
      </c>
      <c r="S11" s="218">
        <f>P11/P15</f>
        <v>3.1741514584899236E-3</v>
      </c>
      <c r="T11" s="218">
        <f>N11/N15</f>
        <v>3.1581322918430173E-3</v>
      </c>
    </row>
    <row r="12" spans="2:20" x14ac:dyDescent="0.25">
      <c r="B12" s="197">
        <v>10</v>
      </c>
      <c r="C12" s="25" t="s">
        <v>38</v>
      </c>
      <c r="D12" s="12">
        <v>9</v>
      </c>
      <c r="E12" s="13">
        <v>136000000</v>
      </c>
      <c r="F12" s="13">
        <v>115600000</v>
      </c>
      <c r="G12" s="12">
        <v>2</v>
      </c>
      <c r="H12" s="13">
        <v>35000000</v>
      </c>
      <c r="I12" s="13">
        <v>29750000</v>
      </c>
      <c r="J12" s="198">
        <f>'ИТОГО 20-21-22-23гг. '!O12</f>
        <v>11</v>
      </c>
      <c r="K12" s="87">
        <f>'ИТОГО 20-21-22-23гг. '!P12</f>
        <v>171000000</v>
      </c>
      <c r="L12" s="199">
        <f>'ИТОГО 20-21-22-23гг. '!Q12</f>
        <v>145350000</v>
      </c>
      <c r="M12" s="200">
        <v>3</v>
      </c>
      <c r="N12" s="200">
        <v>48000000</v>
      </c>
      <c r="O12" s="200">
        <v>34102951</v>
      </c>
      <c r="P12" s="200">
        <v>40800000</v>
      </c>
      <c r="Q12" s="200">
        <v>29927693.809999999</v>
      </c>
      <c r="R12" s="202">
        <f t="shared" si="0"/>
        <v>0.27272727272727271</v>
      </c>
      <c r="S12" s="218">
        <v>0</v>
      </c>
      <c r="T12" s="218">
        <v>0</v>
      </c>
    </row>
    <row r="13" spans="2:20" x14ac:dyDescent="0.25">
      <c r="B13" s="197">
        <v>11</v>
      </c>
      <c r="C13" s="25" t="s">
        <v>6</v>
      </c>
      <c r="D13" s="12">
        <v>1</v>
      </c>
      <c r="E13" s="13">
        <v>5000000</v>
      </c>
      <c r="F13" s="13">
        <v>4250000</v>
      </c>
      <c r="G13" s="12">
        <v>21</v>
      </c>
      <c r="H13" s="13">
        <v>273119700</v>
      </c>
      <c r="I13" s="13">
        <v>226100000</v>
      </c>
      <c r="J13" s="198">
        <f>'ИТОГО 20-21-22-23гг. '!O13</f>
        <v>22</v>
      </c>
      <c r="K13" s="87">
        <f>'ИТОГО 20-21-22-23гг. '!P13</f>
        <v>278119700</v>
      </c>
      <c r="L13" s="199">
        <f>'ИТОГО 20-21-22-23гг. '!Q13</f>
        <v>230350000</v>
      </c>
      <c r="M13" s="200"/>
      <c r="N13" s="200"/>
      <c r="O13" s="200"/>
      <c r="P13" s="200"/>
      <c r="Q13" s="200"/>
      <c r="R13" s="202">
        <f t="shared" si="0"/>
        <v>0</v>
      </c>
      <c r="S13" s="218">
        <f>P13/P15</f>
        <v>0</v>
      </c>
      <c r="T13" s="218">
        <f>N13/N15</f>
        <v>0</v>
      </c>
    </row>
    <row r="14" spans="2:20" x14ac:dyDescent="0.25">
      <c r="B14" s="197">
        <v>12</v>
      </c>
      <c r="C14" s="25" t="s">
        <v>130</v>
      </c>
      <c r="D14" s="12"/>
      <c r="E14" s="13"/>
      <c r="F14" s="13"/>
      <c r="G14" s="12"/>
      <c r="H14" s="13"/>
      <c r="I14" s="13"/>
      <c r="J14" s="198">
        <f>'ИТОГО 20-21-22-23гг. '!O14</f>
        <v>451</v>
      </c>
      <c r="K14" s="87">
        <f>'ИТОГО 20-21-22-23гг. '!P14</f>
        <v>6277057800</v>
      </c>
      <c r="L14" s="199">
        <f>'ИТОГО 20-21-22-23гг. '!Q14</f>
        <v>72250000</v>
      </c>
      <c r="M14" s="200"/>
      <c r="N14" s="200"/>
      <c r="O14" s="200"/>
      <c r="P14" s="200"/>
      <c r="Q14" s="200"/>
      <c r="R14" s="202"/>
      <c r="S14" s="218"/>
      <c r="T14" s="218"/>
    </row>
    <row r="15" spans="2:20" ht="15.75" thickBot="1" x14ac:dyDescent="0.3">
      <c r="B15" s="256" t="s">
        <v>18</v>
      </c>
      <c r="C15" s="257"/>
      <c r="D15" s="224">
        <f t="shared" ref="D15:I15" si="1">SUM(D3:D13)</f>
        <v>3749</v>
      </c>
      <c r="E15" s="203">
        <f t="shared" si="1"/>
        <v>20333808443</v>
      </c>
      <c r="F15" s="203">
        <f t="shared" si="1"/>
        <v>17268567591.989998</v>
      </c>
      <c r="G15" s="224">
        <f t="shared" si="1"/>
        <v>13397</v>
      </c>
      <c r="H15" s="203">
        <f t="shared" si="1"/>
        <v>75139705094.860001</v>
      </c>
      <c r="I15" s="203">
        <f t="shared" si="1"/>
        <v>63650162239.76001</v>
      </c>
      <c r="J15" s="206">
        <f>SUM(J3:J14)</f>
        <v>4457801</v>
      </c>
      <c r="K15" s="207">
        <f>SUM(K3:K14)</f>
        <v>255858689523.85999</v>
      </c>
      <c r="L15" s="208">
        <f>SUM(L3:L14)</f>
        <v>192599624801.04004</v>
      </c>
      <c r="M15" s="234">
        <f>SUM(M3:M13)</f>
        <v>1517</v>
      </c>
      <c r="N15" s="234">
        <f>SUM(N3:N13)</f>
        <v>10118955460.65</v>
      </c>
      <c r="O15" s="234">
        <f>SUM(O3:O13)</f>
        <v>6468529413.4699984</v>
      </c>
      <c r="P15" s="234">
        <f>SUM(P3:P13)</f>
        <v>8569219319.1499996</v>
      </c>
      <c r="Q15" s="209">
        <f>SUM(Q3:Q13)</f>
        <v>5908487989.2999973</v>
      </c>
      <c r="R15" s="235">
        <f>M15/J15</f>
        <v>3.4030231497547784E-4</v>
      </c>
      <c r="S15" s="227">
        <f>SUM(S3:S13)</f>
        <v>0.99523877281226514</v>
      </c>
      <c r="T15" s="218">
        <f>SUM(T3:T13)</f>
        <v>0.99525642738653619</v>
      </c>
    </row>
    <row r="16" spans="2:20" x14ac:dyDescent="0.25">
      <c r="B16" s="30"/>
    </row>
    <row r="18" spans="2:17" x14ac:dyDescent="0.25">
      <c r="C18" s="139" t="s">
        <v>115</v>
      </c>
      <c r="E18" s="29" t="s">
        <v>83</v>
      </c>
      <c r="F18" t="s">
        <v>83</v>
      </c>
    </row>
    <row r="19" spans="2:17" ht="57" x14ac:dyDescent="0.25">
      <c r="B19" s="93" t="s">
        <v>0</v>
      </c>
      <c r="C19" s="93" t="s">
        <v>39</v>
      </c>
      <c r="D19" s="196" t="s">
        <v>16</v>
      </c>
      <c r="E19" s="196" t="s">
        <v>42</v>
      </c>
      <c r="F19" s="196" t="s">
        <v>43</v>
      </c>
      <c r="G19" s="196" t="s">
        <v>16</v>
      </c>
      <c r="H19" s="196" t="s">
        <v>42</v>
      </c>
      <c r="I19" s="196" t="s">
        <v>43</v>
      </c>
      <c r="J19" s="210" t="s">
        <v>101</v>
      </c>
      <c r="K19" s="158" t="s">
        <v>102</v>
      </c>
      <c r="L19" s="158" t="s">
        <v>95</v>
      </c>
      <c r="M19" s="158" t="s">
        <v>43</v>
      </c>
      <c r="N19" s="158" t="s">
        <v>127</v>
      </c>
      <c r="O19" s="158" t="s">
        <v>126</v>
      </c>
    </row>
    <row r="20" spans="2:17" x14ac:dyDescent="0.25">
      <c r="B20" s="197">
        <v>1</v>
      </c>
      <c r="C20" s="25" t="s">
        <v>8</v>
      </c>
      <c r="D20" s="12">
        <v>1691</v>
      </c>
      <c r="E20" s="13">
        <v>7757461837</v>
      </c>
      <c r="F20" s="13">
        <v>6586515966.9499998</v>
      </c>
      <c r="G20" s="12">
        <v>0</v>
      </c>
      <c r="H20" s="13">
        <v>0</v>
      </c>
      <c r="I20" s="13">
        <v>0</v>
      </c>
      <c r="J20" s="201">
        <v>258</v>
      </c>
      <c r="K20" s="201">
        <v>622203055.51000011</v>
      </c>
      <c r="L20" s="201">
        <v>13750</v>
      </c>
      <c r="M20" s="201">
        <v>64313829210.190002</v>
      </c>
      <c r="N20" s="228">
        <f>J20/L32</f>
        <v>7.4129410412596252E-3</v>
      </c>
      <c r="O20" s="211">
        <f>J20/J32</f>
        <v>0.38335809806835069</v>
      </c>
    </row>
    <row r="21" spans="2:17" x14ac:dyDescent="0.25">
      <c r="B21" s="197">
        <v>2</v>
      </c>
      <c r="C21" s="25" t="s">
        <v>125</v>
      </c>
      <c r="D21" s="12">
        <v>1060</v>
      </c>
      <c r="E21" s="13">
        <v>7407061598</v>
      </c>
      <c r="F21" s="13">
        <v>6290863268.3000002</v>
      </c>
      <c r="G21" s="12">
        <v>0</v>
      </c>
      <c r="H21" s="13">
        <v>0</v>
      </c>
      <c r="I21" s="13">
        <v>0</v>
      </c>
      <c r="J21" s="201">
        <v>295</v>
      </c>
      <c r="K21" s="201">
        <v>1136112832.1900008</v>
      </c>
      <c r="L21" s="201">
        <v>5423</v>
      </c>
      <c r="M21" s="201">
        <v>30367037433.349998</v>
      </c>
      <c r="N21" s="228">
        <f>J21/L32</f>
        <v>8.4760372370991845E-3</v>
      </c>
      <c r="O21" s="211">
        <f>J21/J32</f>
        <v>0.43833580980683506</v>
      </c>
      <c r="Q21" s="29" t="s">
        <v>83</v>
      </c>
    </row>
    <row r="22" spans="2:17" x14ac:dyDescent="0.25">
      <c r="B22" s="197">
        <v>3</v>
      </c>
      <c r="C22" s="25" t="s">
        <v>5</v>
      </c>
      <c r="D22" s="12">
        <v>559</v>
      </c>
      <c r="E22" s="13">
        <v>2377019249</v>
      </c>
      <c r="F22" s="13">
        <v>2019463361.4000001</v>
      </c>
      <c r="G22" s="12">
        <v>0</v>
      </c>
      <c r="H22" s="13" t="s">
        <v>83</v>
      </c>
      <c r="I22" s="13">
        <v>0</v>
      </c>
      <c r="J22" s="18">
        <v>104</v>
      </c>
      <c r="K22" s="201">
        <v>241929852.86999997</v>
      </c>
      <c r="L22" s="201">
        <v>12688</v>
      </c>
      <c r="M22" s="201">
        <v>39301749618.169998</v>
      </c>
      <c r="N22" s="228">
        <f>J22/L32</f>
        <v>2.9881622801976784E-3</v>
      </c>
      <c r="O22" s="211">
        <f>J22/J32</f>
        <v>0.15453194650817237</v>
      </c>
    </row>
    <row r="23" spans="2:17" ht="30" x14ac:dyDescent="0.25">
      <c r="B23" s="197">
        <v>4</v>
      </c>
      <c r="C23" s="225" t="s">
        <v>108</v>
      </c>
      <c r="D23" s="12">
        <v>290</v>
      </c>
      <c r="E23" s="13">
        <v>1403699197</v>
      </c>
      <c r="F23" s="13">
        <v>1191443417.6399999</v>
      </c>
      <c r="G23" s="12">
        <v>0</v>
      </c>
      <c r="H23" s="13" t="s">
        <v>83</v>
      </c>
      <c r="I23" s="13">
        <v>0</v>
      </c>
      <c r="J23" s="201">
        <v>2</v>
      </c>
      <c r="K23" s="201">
        <v>5822586.5099999998</v>
      </c>
      <c r="L23" s="201">
        <v>588</v>
      </c>
      <c r="M23" s="201">
        <v>2997606114.1399999</v>
      </c>
      <c r="N23" s="228">
        <f>J23/L32</f>
        <v>5.7464659234570738E-5</v>
      </c>
      <c r="O23" s="211">
        <f>J23/J32</f>
        <v>2.9717682020802376E-3</v>
      </c>
    </row>
    <row r="24" spans="2:17" x14ac:dyDescent="0.25">
      <c r="B24" s="197">
        <v>5</v>
      </c>
      <c r="C24" s="25" t="s">
        <v>37</v>
      </c>
      <c r="D24" s="12">
        <v>66</v>
      </c>
      <c r="E24" s="13">
        <v>723600000</v>
      </c>
      <c r="F24" s="13">
        <v>615060000</v>
      </c>
      <c r="G24" s="12">
        <v>0</v>
      </c>
      <c r="H24" s="13">
        <v>0</v>
      </c>
      <c r="I24" s="13">
        <v>0</v>
      </c>
      <c r="J24" s="18">
        <v>5</v>
      </c>
      <c r="K24" s="201">
        <v>43071285.589999996</v>
      </c>
      <c r="L24" s="201">
        <v>1286</v>
      </c>
      <c r="M24" s="201">
        <v>10265624014.290001</v>
      </c>
      <c r="N24" s="228">
        <f>J24/L32</f>
        <v>1.4366164808642684E-4</v>
      </c>
      <c r="O24" s="211">
        <f>J24/J32</f>
        <v>7.429420505200594E-3</v>
      </c>
    </row>
    <row r="25" spans="2:17" x14ac:dyDescent="0.25">
      <c r="B25" s="197">
        <v>6</v>
      </c>
      <c r="C25" s="25" t="s">
        <v>47</v>
      </c>
      <c r="D25" s="12">
        <v>28</v>
      </c>
      <c r="E25" s="13">
        <v>233200000</v>
      </c>
      <c r="F25" s="13">
        <v>198220000</v>
      </c>
      <c r="G25" s="12">
        <v>0</v>
      </c>
      <c r="H25" s="13" t="s">
        <v>83</v>
      </c>
      <c r="I25" s="13" t="s">
        <v>83</v>
      </c>
      <c r="J25" s="1"/>
      <c r="K25" s="1"/>
      <c r="L25" s="201">
        <v>381</v>
      </c>
      <c r="M25" s="201">
        <v>1515693666</v>
      </c>
      <c r="N25" s="228">
        <f>J25/L32</f>
        <v>0</v>
      </c>
      <c r="O25" s="211">
        <f>J25/J8</f>
        <v>0</v>
      </c>
    </row>
    <row r="26" spans="2:17" x14ac:dyDescent="0.25">
      <c r="B26" s="197">
        <v>7</v>
      </c>
      <c r="C26" s="25" t="s">
        <v>7</v>
      </c>
      <c r="D26" s="12">
        <v>18</v>
      </c>
      <c r="E26" s="13">
        <v>133306062</v>
      </c>
      <c r="F26" s="13">
        <v>113310152.7</v>
      </c>
      <c r="G26" s="12">
        <v>0</v>
      </c>
      <c r="H26" s="13" t="s">
        <v>83</v>
      </c>
      <c r="I26" s="13" t="s">
        <v>83</v>
      </c>
      <c r="J26" s="18">
        <v>8</v>
      </c>
      <c r="K26" s="201">
        <v>22544063.890000001</v>
      </c>
      <c r="L26" s="201">
        <v>500</v>
      </c>
      <c r="M26" s="201">
        <v>2992554452.9499998</v>
      </c>
      <c r="N26" s="228">
        <f>J26/L38</f>
        <v>8.8571422290765716E-9</v>
      </c>
      <c r="O26" s="211">
        <f>J26/J32</f>
        <v>1.188707280832095E-2</v>
      </c>
      <c r="P26" s="29" t="s">
        <v>83</v>
      </c>
    </row>
    <row r="27" spans="2:17" x14ac:dyDescent="0.25">
      <c r="B27" s="197">
        <v>8</v>
      </c>
      <c r="C27" s="25" t="s">
        <v>4</v>
      </c>
      <c r="D27" s="12">
        <v>17</v>
      </c>
      <c r="E27" s="13">
        <v>83500000</v>
      </c>
      <c r="F27" s="13">
        <v>70975000</v>
      </c>
      <c r="G27" s="12">
        <v>0</v>
      </c>
      <c r="H27" s="13">
        <v>0</v>
      </c>
      <c r="I27" s="13">
        <v>0</v>
      </c>
      <c r="J27" s="1"/>
      <c r="K27" s="1"/>
      <c r="L27" s="201">
        <v>25</v>
      </c>
      <c r="M27" s="201">
        <v>163672662.05000001</v>
      </c>
      <c r="N27" s="228">
        <v>0</v>
      </c>
      <c r="O27" s="211">
        <f>J27/J10</f>
        <v>0</v>
      </c>
    </row>
    <row r="28" spans="2:17" x14ac:dyDescent="0.25">
      <c r="B28" s="197">
        <v>9</v>
      </c>
      <c r="C28" s="25" t="s">
        <v>9</v>
      </c>
      <c r="D28" s="12">
        <v>10</v>
      </c>
      <c r="E28" s="13">
        <v>73960500</v>
      </c>
      <c r="F28" s="13">
        <v>62866425</v>
      </c>
      <c r="G28" s="12">
        <v>0</v>
      </c>
      <c r="H28" s="13">
        <v>0</v>
      </c>
      <c r="I28" s="13">
        <v>0</v>
      </c>
      <c r="J28" s="1"/>
      <c r="K28" s="1"/>
      <c r="L28" s="201">
        <v>125</v>
      </c>
      <c r="M28" s="201">
        <v>856582802</v>
      </c>
      <c r="N28" s="228">
        <f>J28/L40</f>
        <v>0</v>
      </c>
      <c r="O28" s="211">
        <f>J28/J11</f>
        <v>0</v>
      </c>
      <c r="P28" s="29" t="s">
        <v>83</v>
      </c>
    </row>
    <row r="29" spans="2:17" x14ac:dyDescent="0.25">
      <c r="B29" s="197">
        <v>10</v>
      </c>
      <c r="C29" s="25" t="s">
        <v>38</v>
      </c>
      <c r="D29" s="12">
        <v>9</v>
      </c>
      <c r="E29" s="13">
        <v>136000000</v>
      </c>
      <c r="F29" s="13">
        <v>115600000</v>
      </c>
      <c r="G29" s="12">
        <v>0</v>
      </c>
      <c r="H29" s="13">
        <v>0</v>
      </c>
      <c r="I29" s="13">
        <v>0</v>
      </c>
      <c r="J29" s="1"/>
      <c r="K29" s="1"/>
      <c r="L29" s="201">
        <v>11</v>
      </c>
      <c r="M29" s="201">
        <v>145350000</v>
      </c>
      <c r="N29" s="228">
        <f>J29/L41</f>
        <v>0</v>
      </c>
      <c r="O29" s="211">
        <f>J29/J12</f>
        <v>0</v>
      </c>
    </row>
    <row r="30" spans="2:17" x14ac:dyDescent="0.25">
      <c r="B30" s="197">
        <v>11</v>
      </c>
      <c r="C30" s="25" t="s">
        <v>6</v>
      </c>
      <c r="D30" s="12">
        <v>1</v>
      </c>
      <c r="E30" s="13">
        <v>5000000</v>
      </c>
      <c r="F30" s="13">
        <v>4250000</v>
      </c>
      <c r="G30" s="12">
        <v>0</v>
      </c>
      <c r="H30" s="13">
        <v>0</v>
      </c>
      <c r="I30" s="13" t="s">
        <v>83</v>
      </c>
      <c r="J30" s="18">
        <v>1</v>
      </c>
      <c r="K30" s="201">
        <v>14500880.77</v>
      </c>
      <c r="L30" s="201">
        <v>22</v>
      </c>
      <c r="M30" s="201">
        <v>230350000</v>
      </c>
      <c r="N30" s="228">
        <f>J30/L42</f>
        <v>1.7810736588580711E-8</v>
      </c>
      <c r="O30" s="211">
        <f>J30/J13</f>
        <v>4.5454545454545456E-2</v>
      </c>
    </row>
    <row r="31" spans="2:17" x14ac:dyDescent="0.25">
      <c r="B31" s="197">
        <v>12</v>
      </c>
      <c r="C31" s="25" t="s">
        <v>130</v>
      </c>
      <c r="D31" s="12"/>
      <c r="E31" s="13"/>
      <c r="F31" s="13"/>
      <c r="G31" s="12"/>
      <c r="H31" s="13"/>
      <c r="I31" s="238"/>
      <c r="J31" s="18"/>
      <c r="K31" s="201"/>
      <c r="L31" s="201">
        <v>5</v>
      </c>
      <c r="M31" s="201"/>
      <c r="N31" s="228"/>
      <c r="O31" s="211"/>
    </row>
    <row r="32" spans="2:17" x14ac:dyDescent="0.25">
      <c r="B32" s="256" t="s">
        <v>18</v>
      </c>
      <c r="C32" s="257"/>
      <c r="D32" s="224">
        <f t="shared" ref="D32:I32" si="2">SUM(D20:D30)</f>
        <v>3749</v>
      </c>
      <c r="E32" s="203">
        <f t="shared" si="2"/>
        <v>20333808443</v>
      </c>
      <c r="F32" s="203">
        <f t="shared" si="2"/>
        <v>17268567591.989998</v>
      </c>
      <c r="G32" s="204">
        <f t="shared" si="2"/>
        <v>0</v>
      </c>
      <c r="H32" s="203">
        <f t="shared" si="2"/>
        <v>0</v>
      </c>
      <c r="I32" s="205">
        <f t="shared" si="2"/>
        <v>0</v>
      </c>
      <c r="J32" s="209">
        <f>SUM(J19:J30)</f>
        <v>673</v>
      </c>
      <c r="K32" s="209">
        <f>SUM(K20:K30)</f>
        <v>2086184557.3300006</v>
      </c>
      <c r="L32" s="209">
        <f>SUM(L20:L31)</f>
        <v>34804</v>
      </c>
      <c r="M32" s="209">
        <v>153150049973.14001</v>
      </c>
      <c r="N32" s="229">
        <f>J32/L32</f>
        <v>1.9336857832433052E-2</v>
      </c>
      <c r="O32" s="226">
        <f>SUM(O20:O30)</f>
        <v>1.0439686613535053</v>
      </c>
    </row>
    <row r="35" spans="2:25" ht="28.5" x14ac:dyDescent="0.25">
      <c r="B35" s="93" t="s">
        <v>0</v>
      </c>
      <c r="C35" s="93" t="s">
        <v>39</v>
      </c>
      <c r="J35" s="94" t="s">
        <v>103</v>
      </c>
      <c r="K35" s="94" t="s">
        <v>116</v>
      </c>
      <c r="L35" s="94" t="s">
        <v>117</v>
      </c>
      <c r="M35" s="94" t="s">
        <v>104</v>
      </c>
      <c r="N35" s="94" t="s">
        <v>116</v>
      </c>
      <c r="O35" s="94" t="s">
        <v>117</v>
      </c>
      <c r="P35" s="94" t="s">
        <v>105</v>
      </c>
      <c r="Q35" s="94" t="s">
        <v>116</v>
      </c>
      <c r="R35" s="94" t="s">
        <v>117</v>
      </c>
      <c r="S35" s="94" t="s">
        <v>106</v>
      </c>
      <c r="T35" s="94" t="s">
        <v>116</v>
      </c>
      <c r="U35" s="94" t="s">
        <v>117</v>
      </c>
      <c r="V35" s="94" t="s">
        <v>118</v>
      </c>
      <c r="W35" s="94" t="s">
        <v>116</v>
      </c>
      <c r="X35" s="94" t="s">
        <v>117</v>
      </c>
    </row>
    <row r="36" spans="2:25" x14ac:dyDescent="0.25">
      <c r="B36" s="197">
        <v>1</v>
      </c>
      <c r="C36" s="25" t="s">
        <v>8</v>
      </c>
      <c r="J36" s="198">
        <v>488</v>
      </c>
      <c r="K36" s="198">
        <v>1610486906.3900015</v>
      </c>
      <c r="L36" s="198">
        <v>1518689569.0699999</v>
      </c>
      <c r="M36" s="198">
        <v>102</v>
      </c>
      <c r="N36" s="198">
        <v>394909573.62</v>
      </c>
      <c r="O36" s="198">
        <v>383149634.04000008</v>
      </c>
      <c r="P36" s="198">
        <v>54</v>
      </c>
      <c r="Q36" s="198">
        <v>173923953.17000005</v>
      </c>
      <c r="R36" s="198">
        <v>172992812.48000005</v>
      </c>
      <c r="S36" s="198">
        <v>197</v>
      </c>
      <c r="T36" s="198">
        <v>690510928.05000019</v>
      </c>
      <c r="U36" s="198">
        <v>653336660.67999983</v>
      </c>
      <c r="V36" s="198">
        <f t="shared" ref="V36:X46" si="3">J36+M36+P36+S36</f>
        <v>841</v>
      </c>
      <c r="W36" s="198">
        <f>K36+N36+Q36+T36</f>
        <v>2869831361.2300019</v>
      </c>
      <c r="X36" s="198">
        <f>L36+O36+R36+U36</f>
        <v>2728168676.27</v>
      </c>
      <c r="Y36" s="218">
        <f>X36/W36</f>
        <v>0.95063727894475103</v>
      </c>
    </row>
    <row r="37" spans="2:25" x14ac:dyDescent="0.25">
      <c r="B37" s="197">
        <v>2</v>
      </c>
      <c r="C37" s="25" t="s">
        <v>125</v>
      </c>
      <c r="J37" s="198">
        <v>134</v>
      </c>
      <c r="K37" s="198">
        <v>460114710.67999989</v>
      </c>
      <c r="L37" s="198">
        <v>407543277.8300001</v>
      </c>
      <c r="M37" s="198">
        <v>16</v>
      </c>
      <c r="N37" s="198">
        <v>86277669.910000011</v>
      </c>
      <c r="O37" s="198">
        <v>79106156.900000006</v>
      </c>
      <c r="P37" s="198">
        <v>22</v>
      </c>
      <c r="Q37" s="198">
        <v>86323026.99000001</v>
      </c>
      <c r="R37" s="198">
        <v>74187836.439999998</v>
      </c>
      <c r="S37" s="198">
        <v>111</v>
      </c>
      <c r="T37" s="198">
        <v>613035762.73000026</v>
      </c>
      <c r="U37" s="198">
        <v>567764042.94000018</v>
      </c>
      <c r="V37" s="198">
        <f t="shared" si="3"/>
        <v>283</v>
      </c>
      <c r="W37" s="198">
        <f t="shared" si="3"/>
        <v>1245751170.3100002</v>
      </c>
      <c r="X37" s="198">
        <f t="shared" si="3"/>
        <v>1128601314.1100001</v>
      </c>
      <c r="Y37" s="218">
        <f t="shared" ref="Y37:Y45" si="4">X37/W37</f>
        <v>0.90596046867782776</v>
      </c>
    </row>
    <row r="38" spans="2:25" x14ac:dyDescent="0.25">
      <c r="B38" s="197">
        <v>3</v>
      </c>
      <c r="C38" s="25" t="s">
        <v>5</v>
      </c>
      <c r="J38" s="198">
        <v>197</v>
      </c>
      <c r="K38" s="198">
        <v>1044785492.2399994</v>
      </c>
      <c r="L38" s="198">
        <v>903225870.50000036</v>
      </c>
      <c r="M38" s="198">
        <v>35</v>
      </c>
      <c r="N38" s="198">
        <v>213269283.13</v>
      </c>
      <c r="O38" s="198">
        <v>186398911.10999998</v>
      </c>
      <c r="P38" s="198">
        <v>22</v>
      </c>
      <c r="Q38" s="198">
        <v>88183326.270000011</v>
      </c>
      <c r="R38" s="198">
        <v>76147647</v>
      </c>
      <c r="S38" s="198">
        <v>44</v>
      </c>
      <c r="T38" s="198">
        <v>138451856</v>
      </c>
      <c r="U38" s="198">
        <v>133897916.28999998</v>
      </c>
      <c r="V38" s="198">
        <f t="shared" si="3"/>
        <v>298</v>
      </c>
      <c r="W38" s="198">
        <f t="shared" si="3"/>
        <v>1484689957.6399994</v>
      </c>
      <c r="X38" s="198">
        <f t="shared" si="3"/>
        <v>1299670344.9000003</v>
      </c>
      <c r="Y38" s="218">
        <f>X38/W38</f>
        <v>0.87538165002873836</v>
      </c>
    </row>
    <row r="39" spans="2:25" ht="30" x14ac:dyDescent="0.25">
      <c r="B39" s="197">
        <v>4</v>
      </c>
      <c r="C39" s="225" t="s">
        <v>108</v>
      </c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>
        <f t="shared" si="3"/>
        <v>0</v>
      </c>
      <c r="W39" s="198">
        <f t="shared" si="3"/>
        <v>0</v>
      </c>
      <c r="X39" s="198">
        <f t="shared" si="3"/>
        <v>0</v>
      </c>
      <c r="Y39" s="218">
        <v>0</v>
      </c>
    </row>
    <row r="40" spans="2:25" x14ac:dyDescent="0.25">
      <c r="B40" s="197">
        <v>5</v>
      </c>
      <c r="C40" s="25" t="s">
        <v>37</v>
      </c>
      <c r="J40" s="198">
        <v>51</v>
      </c>
      <c r="K40" s="198">
        <v>601911860.19999993</v>
      </c>
      <c r="L40" s="198">
        <v>507218495.53000009</v>
      </c>
      <c r="M40" s="198">
        <v>9</v>
      </c>
      <c r="N40" s="198">
        <v>69246235.25</v>
      </c>
      <c r="O40" s="198">
        <v>60727833.990000002</v>
      </c>
      <c r="P40" s="198"/>
      <c r="Q40" s="198"/>
      <c r="R40" s="198"/>
      <c r="S40" s="198">
        <v>5</v>
      </c>
      <c r="T40" s="198">
        <v>20180847.390000001</v>
      </c>
      <c r="U40" s="198">
        <v>21098503.059999999</v>
      </c>
      <c r="V40" s="198">
        <f>J40+M40+P40+S40</f>
        <v>65</v>
      </c>
      <c r="W40" s="198">
        <f t="shared" si="3"/>
        <v>691338942.83999991</v>
      </c>
      <c r="X40" s="198">
        <f t="shared" si="3"/>
        <v>589044832.58000004</v>
      </c>
      <c r="Y40" s="218">
        <f t="shared" si="4"/>
        <v>0.85203479231217805</v>
      </c>
    </row>
    <row r="41" spans="2:25" x14ac:dyDescent="0.25">
      <c r="B41" s="197">
        <v>6</v>
      </c>
      <c r="C41" s="25" t="s">
        <v>47</v>
      </c>
      <c r="J41" s="198">
        <v>3</v>
      </c>
      <c r="K41" s="198">
        <v>28148787.580000002</v>
      </c>
      <c r="L41" s="198">
        <v>27393102.32</v>
      </c>
      <c r="M41" s="198">
        <v>3</v>
      </c>
      <c r="N41" s="198">
        <v>32855338.41</v>
      </c>
      <c r="O41" s="198">
        <v>27927037.649999999</v>
      </c>
      <c r="P41" s="198"/>
      <c r="Q41" s="198"/>
      <c r="R41" s="198"/>
      <c r="S41" s="198">
        <v>0</v>
      </c>
      <c r="T41" s="198"/>
      <c r="U41" s="198"/>
      <c r="V41" s="198">
        <f t="shared" ref="V41:V46" si="5">J41+M41+P41+S41</f>
        <v>6</v>
      </c>
      <c r="W41" s="198">
        <f t="shared" si="3"/>
        <v>61004125.990000002</v>
      </c>
      <c r="X41" s="198">
        <f t="shared" si="3"/>
        <v>55320139.969999999</v>
      </c>
      <c r="Y41" s="218">
        <f t="shared" si="4"/>
        <v>0.90682620351069798</v>
      </c>
    </row>
    <row r="42" spans="2:25" x14ac:dyDescent="0.25">
      <c r="B42" s="197">
        <v>7</v>
      </c>
      <c r="C42" s="25" t="s">
        <v>7</v>
      </c>
      <c r="J42" s="198">
        <v>11</v>
      </c>
      <c r="K42" s="198">
        <v>64038664.469999999</v>
      </c>
      <c r="L42" s="198">
        <v>56145909.24000001</v>
      </c>
      <c r="M42" s="198"/>
      <c r="N42" s="198"/>
      <c r="O42" s="198"/>
      <c r="P42" s="198">
        <v>1</v>
      </c>
      <c r="Q42" s="198">
        <v>2487290.7200000002</v>
      </c>
      <c r="R42" s="198">
        <v>2114197.1120000002</v>
      </c>
      <c r="S42" s="198"/>
      <c r="T42" s="198"/>
      <c r="U42" s="198"/>
      <c r="V42" s="198">
        <f t="shared" si="5"/>
        <v>12</v>
      </c>
      <c r="W42" s="198">
        <f t="shared" si="3"/>
        <v>66525955.189999998</v>
      </c>
      <c r="X42" s="198">
        <f t="shared" si="3"/>
        <v>58260106.352000013</v>
      </c>
      <c r="Y42" s="218">
        <f t="shared" si="4"/>
        <v>0.87575001645008343</v>
      </c>
    </row>
    <row r="43" spans="2:25" x14ac:dyDescent="0.25">
      <c r="B43" s="197">
        <v>8</v>
      </c>
      <c r="C43" s="25" t="s">
        <v>4</v>
      </c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>
        <f t="shared" si="5"/>
        <v>0</v>
      </c>
      <c r="W43" s="198">
        <f t="shared" si="3"/>
        <v>0</v>
      </c>
      <c r="X43" s="198">
        <f t="shared" si="3"/>
        <v>0</v>
      </c>
      <c r="Y43" s="218">
        <v>0</v>
      </c>
    </row>
    <row r="44" spans="2:25" x14ac:dyDescent="0.25">
      <c r="B44" s="197">
        <v>9</v>
      </c>
      <c r="C44" s="25" t="s">
        <v>9</v>
      </c>
      <c r="J44" s="198">
        <v>5</v>
      </c>
      <c r="K44" s="198">
        <v>8983483.3100000005</v>
      </c>
      <c r="L44" s="198">
        <v>9008405.129999999</v>
      </c>
      <c r="M44" s="198">
        <v>0</v>
      </c>
      <c r="N44" s="198">
        <v>0</v>
      </c>
      <c r="O44" s="198">
        <v>0</v>
      </c>
      <c r="P44" s="198">
        <v>3</v>
      </c>
      <c r="Q44" s="198">
        <v>4884193.18</v>
      </c>
      <c r="R44" s="198">
        <v>5800673.29</v>
      </c>
      <c r="S44" s="198">
        <v>1</v>
      </c>
      <c r="T44" s="198">
        <v>1417272.78</v>
      </c>
      <c r="U44" s="198">
        <v>4250000</v>
      </c>
      <c r="V44" s="198">
        <f t="shared" si="5"/>
        <v>9</v>
      </c>
      <c r="W44" s="198">
        <f t="shared" si="3"/>
        <v>15284949.27</v>
      </c>
      <c r="X44" s="198">
        <f t="shared" si="3"/>
        <v>19059078.419999998</v>
      </c>
      <c r="Y44" s="218">
        <f t="shared" si="4"/>
        <v>1.246918003019319</v>
      </c>
    </row>
    <row r="45" spans="2:25" x14ac:dyDescent="0.25">
      <c r="B45" s="197">
        <v>10</v>
      </c>
      <c r="C45" s="25" t="s">
        <v>38</v>
      </c>
      <c r="J45" s="198"/>
      <c r="K45" s="198"/>
      <c r="L45" s="198"/>
      <c r="M45" s="198">
        <v>3</v>
      </c>
      <c r="N45" s="198">
        <v>34102951</v>
      </c>
      <c r="O45" s="198">
        <v>29927693.809999999</v>
      </c>
      <c r="P45" s="198"/>
      <c r="Q45" s="198"/>
      <c r="R45" s="198"/>
      <c r="S45" s="198"/>
      <c r="T45" s="198"/>
      <c r="U45" s="198"/>
      <c r="V45" s="198">
        <f t="shared" si="5"/>
        <v>3</v>
      </c>
      <c r="W45" s="198">
        <f t="shared" si="3"/>
        <v>34102951</v>
      </c>
      <c r="X45" s="198">
        <f t="shared" si="3"/>
        <v>29927693.809999999</v>
      </c>
      <c r="Y45" s="218">
        <f t="shared" si="4"/>
        <v>0.8775690353013732</v>
      </c>
    </row>
    <row r="46" spans="2:25" x14ac:dyDescent="0.25">
      <c r="B46" s="219">
        <v>11</v>
      </c>
      <c r="C46" s="220" t="s">
        <v>6</v>
      </c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198"/>
      <c r="U46" s="198"/>
      <c r="V46" s="198">
        <f t="shared" si="5"/>
        <v>0</v>
      </c>
      <c r="W46" s="198">
        <f t="shared" si="3"/>
        <v>0</v>
      </c>
      <c r="X46" s="198">
        <f t="shared" si="3"/>
        <v>0</v>
      </c>
      <c r="Y46" s="218">
        <v>0</v>
      </c>
    </row>
    <row r="47" spans="2:25" x14ac:dyDescent="0.25">
      <c r="B47" s="258" t="s">
        <v>119</v>
      </c>
      <c r="C47" s="258"/>
      <c r="D47" s="1"/>
      <c r="E47" s="1"/>
      <c r="F47" s="1"/>
      <c r="G47" s="1"/>
      <c r="H47" s="1"/>
      <c r="I47" s="1"/>
      <c r="J47" s="204">
        <f t="shared" ref="J47:U47" si="6">SUM(J36:J46)</f>
        <v>889</v>
      </c>
      <c r="K47" s="204">
        <f>SUM(K36:K46)</f>
        <v>3818469904.8700004</v>
      </c>
      <c r="L47" s="204">
        <f>SUM(L36:L46)</f>
        <v>3429224629.6200008</v>
      </c>
      <c r="M47" s="204">
        <f t="shared" si="6"/>
        <v>168</v>
      </c>
      <c r="N47" s="204">
        <f t="shared" si="6"/>
        <v>830661051.32000005</v>
      </c>
      <c r="O47" s="204">
        <f t="shared" si="6"/>
        <v>767237267.5</v>
      </c>
      <c r="P47" s="204">
        <f t="shared" si="6"/>
        <v>102</v>
      </c>
      <c r="Q47" s="204">
        <f t="shared" si="6"/>
        <v>355801790.3300001</v>
      </c>
      <c r="R47" s="204">
        <f t="shared" si="6"/>
        <v>331243166.32200009</v>
      </c>
      <c r="S47" s="204">
        <f t="shared" si="6"/>
        <v>358</v>
      </c>
      <c r="T47" s="204">
        <f t="shared" si="6"/>
        <v>1463596666.9500005</v>
      </c>
      <c r="U47" s="204">
        <f t="shared" si="6"/>
        <v>1380347122.9699998</v>
      </c>
      <c r="V47" s="204">
        <f>J47+M47+P47+S47</f>
        <v>1517</v>
      </c>
      <c r="W47" s="204">
        <f>SUM(W36:W46)</f>
        <v>6468529413.4700012</v>
      </c>
      <c r="X47" s="204">
        <f>SUM(X36:X46)</f>
        <v>5908052186.4120016</v>
      </c>
      <c r="Y47" s="218">
        <f>X47/W47</f>
        <v>0.91335322277566411</v>
      </c>
    </row>
    <row r="51" spans="12:14" x14ac:dyDescent="0.25">
      <c r="L51" s="29" t="s">
        <v>83</v>
      </c>
    </row>
    <row r="52" spans="12:14" x14ac:dyDescent="0.25">
      <c r="L52" s="29" t="s">
        <v>83</v>
      </c>
    </row>
    <row r="55" spans="12:14" x14ac:dyDescent="0.25">
      <c r="N55" s="29" t="s">
        <v>83</v>
      </c>
    </row>
  </sheetData>
  <mergeCells count="3">
    <mergeCell ref="B15:C15"/>
    <mergeCell ref="B32:C32"/>
    <mergeCell ref="B47:C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E35"/>
  <sheetViews>
    <sheetView topLeftCell="H1" zoomScale="90" zoomScaleNormal="90" zoomScaleSheetLayoutView="80" workbookViewId="0">
      <selection activeCell="L29" sqref="L29"/>
    </sheetView>
  </sheetViews>
  <sheetFormatPr defaultColWidth="9.140625" defaultRowHeight="15" x14ac:dyDescent="0.25"/>
  <cols>
    <col min="1" max="1" width="4" style="27" customWidth="1"/>
    <col min="2" max="2" width="30.140625" style="29" customWidth="1"/>
    <col min="3" max="3" width="23.7109375" style="31" bestFit="1" customWidth="1"/>
    <col min="4" max="4" width="22.140625" style="31" bestFit="1" customWidth="1"/>
    <col min="5" max="5" width="18.5703125" style="31" customWidth="1"/>
    <col min="6" max="6" width="18.5703125" style="31" hidden="1" customWidth="1"/>
    <col min="7" max="7" width="12.28515625" style="31" hidden="1" customWidth="1"/>
    <col min="8" max="8" width="5.140625" style="33" customWidth="1"/>
    <col min="9" max="9" width="3.85546875" style="33" customWidth="1"/>
    <col min="10" max="10" width="32.140625" style="29" customWidth="1"/>
    <col min="11" max="11" width="8.42578125" style="31" customWidth="1"/>
    <col min="12" max="12" width="22.5703125" style="31" customWidth="1"/>
    <col min="13" max="13" width="21.28515625" style="31" customWidth="1"/>
    <col min="14" max="14" width="6.5703125" style="30" customWidth="1"/>
    <col min="15" max="15" width="5.42578125" style="31" customWidth="1"/>
    <col min="16" max="16" width="25" style="29" customWidth="1"/>
    <col min="17" max="17" width="23.42578125" style="31" customWidth="1"/>
    <col min="18" max="18" width="22.7109375" style="29" customWidth="1"/>
    <col min="19" max="19" width="25.140625" style="29" customWidth="1"/>
    <col min="20" max="20" width="9.140625" style="29" customWidth="1"/>
    <col min="21" max="16384" width="9.140625" style="29"/>
  </cols>
  <sheetData>
    <row r="1" spans="1:31" s="28" customFormat="1" ht="45" customHeight="1" x14ac:dyDescent="0.25">
      <c r="A1" s="247" t="s">
        <v>61</v>
      </c>
      <c r="B1" s="247"/>
      <c r="C1" s="247"/>
      <c r="D1" s="247"/>
      <c r="E1" s="247"/>
      <c r="F1" s="144"/>
      <c r="G1" s="144"/>
      <c r="H1" s="17"/>
      <c r="I1" s="17"/>
      <c r="J1" s="244" t="s">
        <v>87</v>
      </c>
      <c r="K1" s="244"/>
      <c r="L1" s="244"/>
      <c r="M1" s="244"/>
      <c r="N1" s="26"/>
      <c r="O1" s="27"/>
      <c r="P1" s="247" t="s">
        <v>58</v>
      </c>
      <c r="Q1" s="247"/>
      <c r="R1" s="247"/>
      <c r="S1" s="247"/>
    </row>
    <row r="2" spans="1:31" s="27" customFormat="1" ht="54.75" customHeight="1" x14ac:dyDescent="0.25">
      <c r="A2" s="93" t="s">
        <v>0</v>
      </c>
      <c r="B2" s="93" t="s">
        <v>1</v>
      </c>
      <c r="C2" s="94" t="s">
        <v>55</v>
      </c>
      <c r="D2" s="94" t="s">
        <v>56</v>
      </c>
      <c r="E2" s="94" t="s">
        <v>41</v>
      </c>
      <c r="F2" s="145"/>
      <c r="G2" s="145"/>
      <c r="H2" s="8"/>
      <c r="I2" s="93" t="s">
        <v>0</v>
      </c>
      <c r="J2" s="93" t="s">
        <v>39</v>
      </c>
      <c r="K2" s="93" t="s">
        <v>16</v>
      </c>
      <c r="L2" s="94" t="s">
        <v>42</v>
      </c>
      <c r="M2" s="94" t="s">
        <v>43</v>
      </c>
      <c r="N2" s="17"/>
      <c r="O2" s="93" t="s">
        <v>0</v>
      </c>
      <c r="P2" s="93" t="s">
        <v>45</v>
      </c>
      <c r="Q2" s="93" t="s">
        <v>16</v>
      </c>
      <c r="R2" s="93" t="s">
        <v>42</v>
      </c>
      <c r="S2" s="93" t="s">
        <v>43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x14ac:dyDescent="0.25">
      <c r="A3" s="6">
        <v>1</v>
      </c>
      <c r="B3" s="3" t="s">
        <v>10</v>
      </c>
      <c r="C3" s="106">
        <v>15000000000</v>
      </c>
      <c r="D3" s="106">
        <f>2450000000+512600000+2857400000+1597200000+2000000000</f>
        <v>9417200000</v>
      </c>
      <c r="E3" s="106">
        <f>C3+D3</f>
        <v>24417200000</v>
      </c>
      <c r="F3" s="146">
        <f>C3-L4</f>
        <v>-13307435253</v>
      </c>
      <c r="G3" s="147">
        <f>E3-M3</f>
        <v>5557765836.1999931</v>
      </c>
      <c r="H3" s="9"/>
      <c r="I3" s="35">
        <v>1</v>
      </c>
      <c r="J3" s="3" t="s">
        <v>17</v>
      </c>
      <c r="K3" s="12">
        <v>5009</v>
      </c>
      <c r="L3" s="13">
        <v>22205064017.399998</v>
      </c>
      <c r="M3" s="13">
        <v>18859434163.800007</v>
      </c>
      <c r="N3" s="14"/>
      <c r="O3" s="18">
        <v>1</v>
      </c>
      <c r="P3" s="1" t="s">
        <v>44</v>
      </c>
      <c r="Q3" s="18">
        <v>334</v>
      </c>
      <c r="R3" s="15">
        <v>2795940001</v>
      </c>
      <c r="S3" s="15">
        <v>2359323650.8499999</v>
      </c>
    </row>
    <row r="4" spans="1:31" x14ac:dyDescent="0.25">
      <c r="A4" s="6">
        <v>2</v>
      </c>
      <c r="B4" s="3" t="s">
        <v>8</v>
      </c>
      <c r="C4" s="106">
        <v>12000000000</v>
      </c>
      <c r="D4" s="106">
        <f>2450000000+629500000+3833800000+673000000</f>
        <v>7586300000</v>
      </c>
      <c r="E4" s="106">
        <f>C4+D4</f>
        <v>19586300000</v>
      </c>
      <c r="F4" s="146"/>
      <c r="G4" s="147">
        <f>E4-M3</f>
        <v>726865836.19999313</v>
      </c>
      <c r="H4" s="9"/>
      <c r="I4" s="35">
        <v>2</v>
      </c>
      <c r="J4" s="3" t="s">
        <v>10</v>
      </c>
      <c r="K4" s="12">
        <v>4363</v>
      </c>
      <c r="L4" s="13">
        <v>28307435253</v>
      </c>
      <c r="M4" s="13">
        <v>24076174165.049999</v>
      </c>
      <c r="N4" s="14"/>
      <c r="O4" s="18">
        <v>2</v>
      </c>
      <c r="P4" s="1" t="s">
        <v>19</v>
      </c>
      <c r="Q4" s="18">
        <v>1620</v>
      </c>
      <c r="R4" s="15">
        <v>8995871043</v>
      </c>
      <c r="S4" s="2">
        <v>7592713098.2999983</v>
      </c>
    </row>
    <row r="5" spans="1:31" x14ac:dyDescent="0.25">
      <c r="A5" s="6">
        <v>3</v>
      </c>
      <c r="B5" s="3" t="s">
        <v>5</v>
      </c>
      <c r="C5" s="106">
        <v>8000000000</v>
      </c>
      <c r="D5" s="106">
        <f>565000000+320600000+2030750000+1120500000+1000000000</f>
        <v>5036850000</v>
      </c>
      <c r="E5" s="106">
        <f t="shared" ref="E5:E15" si="0">C5+D5</f>
        <v>13036850000</v>
      </c>
      <c r="F5" s="146"/>
      <c r="G5" s="147">
        <f>E5-M5</f>
        <v>863883071.93000031</v>
      </c>
      <c r="H5" s="9"/>
      <c r="I5" s="35">
        <v>3</v>
      </c>
      <c r="J5" s="3" t="s">
        <v>5</v>
      </c>
      <c r="K5" s="12">
        <v>2974</v>
      </c>
      <c r="L5" s="13">
        <v>14388977649</v>
      </c>
      <c r="M5" s="13">
        <v>12172966928.07</v>
      </c>
      <c r="N5" s="14"/>
      <c r="O5" s="18">
        <v>3</v>
      </c>
      <c r="P5" s="1" t="s">
        <v>20</v>
      </c>
      <c r="Q5" s="18">
        <v>807</v>
      </c>
      <c r="R5" s="2">
        <v>4492749537</v>
      </c>
      <c r="S5" s="2">
        <v>3811462016.5599999</v>
      </c>
    </row>
    <row r="6" spans="1:31" x14ac:dyDescent="0.25">
      <c r="A6" s="6">
        <v>4</v>
      </c>
      <c r="B6" s="3" t="s">
        <v>3</v>
      </c>
      <c r="C6" s="106">
        <v>2500000000</v>
      </c>
      <c r="D6" s="106"/>
      <c r="E6" s="106">
        <f t="shared" si="0"/>
        <v>2500000000</v>
      </c>
      <c r="F6" s="146"/>
      <c r="G6" s="147">
        <f>E6-M6</f>
        <v>693837303.5</v>
      </c>
      <c r="H6" s="9"/>
      <c r="I6" s="35">
        <v>4</v>
      </c>
      <c r="J6" s="3" t="s">
        <v>3</v>
      </c>
      <c r="K6" s="12">
        <v>298</v>
      </c>
      <c r="L6" s="13">
        <v>2124897290</v>
      </c>
      <c r="M6" s="13">
        <v>1806162696.5</v>
      </c>
      <c r="N6" s="14"/>
      <c r="O6" s="18">
        <v>4</v>
      </c>
      <c r="P6" s="1" t="s">
        <v>21</v>
      </c>
      <c r="Q6" s="18">
        <v>485</v>
      </c>
      <c r="R6" s="2">
        <v>2361572188</v>
      </c>
      <c r="S6" s="2">
        <v>1988213909.6499999</v>
      </c>
    </row>
    <row r="7" spans="1:31" x14ac:dyDescent="0.25">
      <c r="A7" s="6">
        <v>5</v>
      </c>
      <c r="B7" s="3" t="s">
        <v>11</v>
      </c>
      <c r="C7" s="106">
        <v>2000000000</v>
      </c>
      <c r="D7" s="106">
        <f>1000000000+67000000+857875000+500000000</f>
        <v>2424875000</v>
      </c>
      <c r="E7" s="106">
        <f t="shared" si="0"/>
        <v>4424875000</v>
      </c>
      <c r="F7" s="146"/>
      <c r="G7" s="147">
        <f>E7-M7</f>
        <v>629478084.71000004</v>
      </c>
      <c r="H7" s="9"/>
      <c r="I7" s="35">
        <v>5</v>
      </c>
      <c r="J7" s="3" t="s">
        <v>37</v>
      </c>
      <c r="K7" s="12">
        <v>346</v>
      </c>
      <c r="L7" s="13">
        <v>4513685532.46</v>
      </c>
      <c r="M7" s="13">
        <v>3795396915.29</v>
      </c>
      <c r="N7" s="14"/>
      <c r="O7" s="18">
        <v>5</v>
      </c>
      <c r="P7" s="1" t="s">
        <v>22</v>
      </c>
      <c r="Q7" s="18">
        <v>684</v>
      </c>
      <c r="R7" s="2">
        <v>3615642960</v>
      </c>
      <c r="S7" s="2">
        <v>3071987616.3000002</v>
      </c>
    </row>
    <row r="8" spans="1:31" x14ac:dyDescent="0.25">
      <c r="A8" s="6">
        <v>6</v>
      </c>
      <c r="B8" s="3" t="s">
        <v>7</v>
      </c>
      <c r="C8" s="106">
        <v>2000000000</v>
      </c>
      <c r="D8" s="106"/>
      <c r="E8" s="106">
        <f t="shared" si="0"/>
        <v>2000000000</v>
      </c>
      <c r="F8" s="146"/>
      <c r="G8" s="147">
        <f>E8-M9</f>
        <v>299234057</v>
      </c>
      <c r="H8" s="9"/>
      <c r="I8" s="35">
        <v>6</v>
      </c>
      <c r="J8" s="3" t="s">
        <v>47</v>
      </c>
      <c r="K8" s="12">
        <v>84</v>
      </c>
      <c r="L8" s="13">
        <v>710250000</v>
      </c>
      <c r="M8" s="13">
        <v>522736066</v>
      </c>
      <c r="N8" s="14"/>
      <c r="O8" s="18">
        <v>6</v>
      </c>
      <c r="P8" s="1" t="s">
        <v>23</v>
      </c>
      <c r="Q8" s="18">
        <v>905</v>
      </c>
      <c r="R8" s="2">
        <v>4492928414</v>
      </c>
      <c r="S8" s="2">
        <v>3781744153.3500004</v>
      </c>
    </row>
    <row r="9" spans="1:31" x14ac:dyDescent="0.25">
      <c r="A9" s="6">
        <v>7</v>
      </c>
      <c r="B9" s="3" t="s">
        <v>4</v>
      </c>
      <c r="C9" s="106">
        <v>1000000000</v>
      </c>
      <c r="D9" s="106">
        <f>-C9</f>
        <v>-1000000000</v>
      </c>
      <c r="E9" s="106">
        <f t="shared" si="0"/>
        <v>0</v>
      </c>
      <c r="F9" s="146"/>
      <c r="G9" s="147">
        <f>E9-M10</f>
        <v>-92697662.049999997</v>
      </c>
      <c r="H9" s="9"/>
      <c r="I9" s="35">
        <v>7</v>
      </c>
      <c r="J9" s="3" t="s">
        <v>7</v>
      </c>
      <c r="K9" s="12">
        <v>242</v>
      </c>
      <c r="L9" s="13">
        <v>2011669580</v>
      </c>
      <c r="M9" s="13">
        <v>1700765943</v>
      </c>
      <c r="N9" s="14"/>
      <c r="O9" s="18">
        <v>7</v>
      </c>
      <c r="P9" s="1" t="s">
        <v>24</v>
      </c>
      <c r="Q9" s="18">
        <v>521</v>
      </c>
      <c r="R9" s="2">
        <v>2612227107</v>
      </c>
      <c r="S9" s="2">
        <v>2220227840.9499998</v>
      </c>
    </row>
    <row r="10" spans="1:31" x14ac:dyDescent="0.25">
      <c r="A10" s="6">
        <v>8</v>
      </c>
      <c r="B10" s="3" t="s">
        <v>9</v>
      </c>
      <c r="C10" s="106">
        <v>521815000</v>
      </c>
      <c r="D10" s="106"/>
      <c r="E10" s="106">
        <f t="shared" si="0"/>
        <v>521815000</v>
      </c>
      <c r="F10" s="146"/>
      <c r="G10" s="147">
        <f>E10-M11</f>
        <v>153837300</v>
      </c>
      <c r="H10" s="9"/>
      <c r="I10" s="35">
        <v>8</v>
      </c>
      <c r="J10" s="3" t="s">
        <v>4</v>
      </c>
      <c r="K10" s="12">
        <v>8</v>
      </c>
      <c r="L10" s="13">
        <v>109056073</v>
      </c>
      <c r="M10" s="13">
        <v>92697662.049999997</v>
      </c>
      <c r="N10" s="14"/>
      <c r="O10" s="18">
        <v>8</v>
      </c>
      <c r="P10" s="1" t="s">
        <v>25</v>
      </c>
      <c r="Q10" s="18">
        <v>892</v>
      </c>
      <c r="R10" s="2">
        <v>4863055108</v>
      </c>
      <c r="S10" s="2">
        <v>4129886884.4100003</v>
      </c>
    </row>
    <row r="11" spans="1:31" x14ac:dyDescent="0.25">
      <c r="A11" s="6">
        <v>9</v>
      </c>
      <c r="B11" s="3" t="s">
        <v>36</v>
      </c>
      <c r="C11" s="106">
        <v>500000000</v>
      </c>
      <c r="D11" s="106">
        <v>87050000</v>
      </c>
      <c r="E11" s="106">
        <v>607050000</v>
      </c>
      <c r="F11" s="146"/>
      <c r="G11" s="147">
        <f>E11-M8</f>
        <v>84313934</v>
      </c>
      <c r="H11" s="9"/>
      <c r="I11" s="35">
        <v>9</v>
      </c>
      <c r="J11" s="3" t="s">
        <v>9</v>
      </c>
      <c r="K11" s="12">
        <v>50</v>
      </c>
      <c r="L11" s="13">
        <v>460550000</v>
      </c>
      <c r="M11" s="13">
        <v>367977700</v>
      </c>
      <c r="N11" s="14"/>
      <c r="O11" s="18">
        <v>9</v>
      </c>
      <c r="P11" s="1" t="s">
        <v>26</v>
      </c>
      <c r="Q11" s="18">
        <v>573</v>
      </c>
      <c r="R11" s="2">
        <v>3925700762.46</v>
      </c>
      <c r="S11" s="2">
        <v>3321064898.0800004</v>
      </c>
    </row>
    <row r="12" spans="1:31" x14ac:dyDescent="0.25">
      <c r="A12" s="6">
        <v>10</v>
      </c>
      <c r="B12" s="3" t="s">
        <v>13</v>
      </c>
      <c r="C12" s="106">
        <v>250000000</v>
      </c>
      <c r="D12" s="106"/>
      <c r="E12" s="106">
        <f t="shared" si="0"/>
        <v>250000000</v>
      </c>
      <c r="F12" s="146"/>
      <c r="G12" s="147">
        <f>E12-M12</f>
        <v>220250000</v>
      </c>
      <c r="H12" s="9"/>
      <c r="I12" s="35">
        <v>10</v>
      </c>
      <c r="J12" s="3" t="s">
        <v>38</v>
      </c>
      <c r="K12" s="12">
        <v>2</v>
      </c>
      <c r="L12" s="13">
        <v>35000000</v>
      </c>
      <c r="M12" s="13">
        <v>29750000</v>
      </c>
      <c r="O12" s="18">
        <v>10</v>
      </c>
      <c r="P12" s="1" t="s">
        <v>27</v>
      </c>
      <c r="Q12" s="18">
        <v>877</v>
      </c>
      <c r="R12" s="2">
        <v>4088122282</v>
      </c>
      <c r="S12" s="2">
        <v>3472971706.3700004</v>
      </c>
    </row>
    <row r="13" spans="1:31" x14ac:dyDescent="0.25">
      <c r="A13" s="6">
        <v>11</v>
      </c>
      <c r="B13" s="3" t="s">
        <v>2</v>
      </c>
      <c r="C13" s="106">
        <v>140000000</v>
      </c>
      <c r="D13" s="106"/>
      <c r="E13" s="106">
        <f t="shared" si="0"/>
        <v>140000000</v>
      </c>
      <c r="F13" s="146"/>
      <c r="G13" s="147">
        <f>E13</f>
        <v>140000000</v>
      </c>
      <c r="H13" s="9"/>
      <c r="I13" s="35">
        <v>11</v>
      </c>
      <c r="J13" s="3" t="s">
        <v>6</v>
      </c>
      <c r="K13" s="12">
        <v>21</v>
      </c>
      <c r="L13" s="13">
        <v>273119700</v>
      </c>
      <c r="M13" s="13">
        <v>226100000</v>
      </c>
      <c r="O13" s="18">
        <v>11</v>
      </c>
      <c r="P13" s="1" t="s">
        <v>28</v>
      </c>
      <c r="Q13" s="18">
        <v>687</v>
      </c>
      <c r="R13" s="2">
        <v>6091167358</v>
      </c>
      <c r="S13" s="2">
        <v>5113924642.000001</v>
      </c>
    </row>
    <row r="14" spans="1:31" x14ac:dyDescent="0.25">
      <c r="A14" s="6">
        <v>12</v>
      </c>
      <c r="B14" s="3" t="s">
        <v>6</v>
      </c>
      <c r="C14" s="106">
        <v>136000000</v>
      </c>
      <c r="D14" s="106">
        <v>100000000</v>
      </c>
      <c r="E14" s="106">
        <f t="shared" si="0"/>
        <v>236000000</v>
      </c>
      <c r="F14" s="146"/>
      <c r="G14" s="147">
        <f>E14-M13</f>
        <v>9900000</v>
      </c>
      <c r="H14" s="9"/>
      <c r="I14" s="248" t="s">
        <v>18</v>
      </c>
      <c r="J14" s="249"/>
      <c r="K14" s="108">
        <f>SUM(K3:K13)</f>
        <v>13397</v>
      </c>
      <c r="L14" s="109">
        <f>SUM(L3:L13)</f>
        <v>75139705094.860001</v>
      </c>
      <c r="M14" s="109">
        <f>SUM(M3:M13)</f>
        <v>63650162239.76001</v>
      </c>
      <c r="O14" s="18">
        <v>12</v>
      </c>
      <c r="P14" s="1" t="s">
        <v>29</v>
      </c>
      <c r="Q14" s="18">
        <v>527</v>
      </c>
      <c r="R14" s="2">
        <v>2814478346</v>
      </c>
      <c r="S14" s="2">
        <v>2380156786.8899999</v>
      </c>
    </row>
    <row r="15" spans="1:31" x14ac:dyDescent="0.25">
      <c r="A15" s="6">
        <v>13</v>
      </c>
      <c r="B15" s="3" t="s">
        <v>57</v>
      </c>
      <c r="C15" s="106">
        <v>0</v>
      </c>
      <c r="D15" s="106"/>
      <c r="E15" s="106">
        <f t="shared" si="0"/>
        <v>0</v>
      </c>
      <c r="F15" s="146"/>
      <c r="G15" s="147"/>
      <c r="H15" s="9"/>
      <c r="I15" s="9"/>
      <c r="L15" s="148" t="s">
        <v>83</v>
      </c>
      <c r="M15" s="148" t="s">
        <v>83</v>
      </c>
      <c r="O15" s="18">
        <v>13</v>
      </c>
      <c r="P15" s="1" t="s">
        <v>30</v>
      </c>
      <c r="Q15" s="18">
        <v>396</v>
      </c>
      <c r="R15" s="2">
        <v>2507429880</v>
      </c>
      <c r="S15" s="2">
        <v>2120013397.1499999</v>
      </c>
    </row>
    <row r="16" spans="1:31" x14ac:dyDescent="0.25">
      <c r="A16" s="248" t="s">
        <v>14</v>
      </c>
      <c r="B16" s="249"/>
      <c r="C16" s="98">
        <f>SUM(C3:C15)</f>
        <v>44047815000</v>
      </c>
      <c r="D16" s="98">
        <f>SUM(D3:D15)</f>
        <v>23652275000</v>
      </c>
      <c r="E16" s="98">
        <f>SUM(E3:E15)</f>
        <v>67720090000</v>
      </c>
      <c r="F16" s="98"/>
      <c r="G16" s="98">
        <f>SUM(G3:G15)</f>
        <v>9286667761.4899864</v>
      </c>
      <c r="H16" s="10"/>
      <c r="I16" s="9"/>
      <c r="L16" s="148"/>
      <c r="M16" s="148"/>
      <c r="O16" s="18">
        <v>14</v>
      </c>
      <c r="P16" s="1" t="s">
        <v>31</v>
      </c>
      <c r="Q16" s="18">
        <v>1260</v>
      </c>
      <c r="R16" s="2">
        <v>5342921198.5500002</v>
      </c>
      <c r="S16" s="2">
        <v>4546205914.2400007</v>
      </c>
    </row>
    <row r="17" spans="1:23" x14ac:dyDescent="0.25">
      <c r="I17" s="9"/>
      <c r="O17" s="18">
        <v>15</v>
      </c>
      <c r="P17" s="1" t="s">
        <v>32</v>
      </c>
      <c r="Q17" s="18">
        <v>1015</v>
      </c>
      <c r="R17" s="2">
        <v>5033182597</v>
      </c>
      <c r="S17" s="2">
        <v>4295162707.3999996</v>
      </c>
    </row>
    <row r="18" spans="1:23" x14ac:dyDescent="0.25">
      <c r="I18" s="9"/>
      <c r="K18" s="29"/>
      <c r="L18" s="150" t="s">
        <v>83</v>
      </c>
      <c r="O18" s="18">
        <v>16</v>
      </c>
      <c r="P18" s="1" t="s">
        <v>33</v>
      </c>
      <c r="Q18" s="18">
        <v>1012</v>
      </c>
      <c r="R18" s="2">
        <v>5420881527</v>
      </c>
      <c r="S18" s="2">
        <v>4607749296.0099993</v>
      </c>
    </row>
    <row r="19" spans="1:23" x14ac:dyDescent="0.25">
      <c r="I19" s="10"/>
      <c r="O19" s="12">
        <v>17</v>
      </c>
      <c r="P19" s="3" t="s">
        <v>34</v>
      </c>
      <c r="Q19" s="12">
        <v>802</v>
      </c>
      <c r="R19" s="36">
        <v>5685834785.8500004</v>
      </c>
      <c r="S19" s="36">
        <v>4837353721.249999</v>
      </c>
    </row>
    <row r="20" spans="1:23" x14ac:dyDescent="0.25">
      <c r="J20" s="29" t="s">
        <v>83</v>
      </c>
      <c r="L20" s="150"/>
      <c r="O20" s="110"/>
      <c r="P20" s="111" t="s">
        <v>18</v>
      </c>
      <c r="Q20" s="112">
        <f>SUM(Q3:Q19)</f>
        <v>13397</v>
      </c>
      <c r="R20" s="113">
        <f>SUM(R3:R19)</f>
        <v>75139705094.860016</v>
      </c>
      <c r="S20" s="113">
        <f>SUM(S3:S19)</f>
        <v>63650162239.760002</v>
      </c>
    </row>
    <row r="21" spans="1:23" x14ac:dyDescent="0.25">
      <c r="L21" s="31" t="s">
        <v>83</v>
      </c>
      <c r="O21" s="19"/>
      <c r="P21" s="30"/>
      <c r="R21" s="34"/>
      <c r="S21" s="34"/>
    </row>
    <row r="22" spans="1:23" x14ac:dyDescent="0.25">
      <c r="J22" s="29" t="s">
        <v>83</v>
      </c>
      <c r="L22" s="31" t="s">
        <v>83</v>
      </c>
      <c r="O22" s="19"/>
      <c r="P22" s="30"/>
    </row>
    <row r="23" spans="1:23" x14ac:dyDescent="0.25">
      <c r="O23" s="19" t="s">
        <v>83</v>
      </c>
      <c r="P23" s="30"/>
      <c r="S23" s="29" t="s">
        <v>83</v>
      </c>
    </row>
    <row r="24" spans="1:23" x14ac:dyDescent="0.25">
      <c r="M24" s="31" t="s">
        <v>83</v>
      </c>
    </row>
    <row r="25" spans="1:23" x14ac:dyDescent="0.25">
      <c r="D25" s="179"/>
      <c r="J25" s="34"/>
      <c r="P25" s="29" t="s">
        <v>83</v>
      </c>
      <c r="R25" s="29" t="s">
        <v>83</v>
      </c>
    </row>
    <row r="26" spans="1:23" x14ac:dyDescent="0.25">
      <c r="R26" s="29" t="s">
        <v>83</v>
      </c>
    </row>
    <row r="27" spans="1:23" x14ac:dyDescent="0.25">
      <c r="N27" s="30" t="s">
        <v>83</v>
      </c>
    </row>
    <row r="28" spans="1:23" x14ac:dyDescent="0.25">
      <c r="A28" s="29"/>
      <c r="C28" s="29"/>
      <c r="D28" s="29"/>
      <c r="E28" s="29"/>
      <c r="F28" s="29"/>
      <c r="G28" s="29"/>
      <c r="M28" s="31" t="s">
        <v>83</v>
      </c>
      <c r="P28" s="29" t="s">
        <v>83</v>
      </c>
    </row>
    <row r="29" spans="1:23" x14ac:dyDescent="0.25">
      <c r="A29" s="29"/>
      <c r="C29" s="29"/>
      <c r="D29" s="29"/>
      <c r="E29" s="29"/>
      <c r="F29" s="29"/>
      <c r="G29" s="29"/>
      <c r="P29" s="29" t="s">
        <v>83</v>
      </c>
      <c r="W29" s="29" t="s">
        <v>83</v>
      </c>
    </row>
    <row r="30" spans="1:23" x14ac:dyDescent="0.25">
      <c r="A30" s="29"/>
      <c r="C30" s="29"/>
      <c r="D30" s="29"/>
      <c r="E30" s="29"/>
      <c r="F30" s="29"/>
      <c r="G30" s="29"/>
      <c r="L30" s="31" t="s">
        <v>83</v>
      </c>
    </row>
    <row r="31" spans="1:23" x14ac:dyDescent="0.25">
      <c r="A31" s="29"/>
      <c r="C31" s="29"/>
      <c r="D31" s="29"/>
      <c r="E31" s="29"/>
      <c r="F31" s="29"/>
      <c r="G31" s="29"/>
      <c r="N31" s="30" t="s">
        <v>83</v>
      </c>
      <c r="R31" s="29" t="s">
        <v>83</v>
      </c>
    </row>
    <row r="32" spans="1:23" x14ac:dyDescent="0.25">
      <c r="A32" s="29"/>
      <c r="C32" s="29"/>
      <c r="D32" s="29"/>
      <c r="E32" s="29"/>
      <c r="F32" s="29"/>
      <c r="G32" s="29"/>
    </row>
    <row r="33" spans="1:13" x14ac:dyDescent="0.25">
      <c r="A33" s="29"/>
      <c r="C33" s="29"/>
      <c r="D33" s="29"/>
      <c r="E33" s="29"/>
      <c r="F33" s="29"/>
      <c r="G33" s="29"/>
    </row>
    <row r="35" spans="1:13" x14ac:dyDescent="0.25">
      <c r="M35" s="31" t="s">
        <v>83</v>
      </c>
    </row>
  </sheetData>
  <mergeCells count="5">
    <mergeCell ref="A1:E1"/>
    <mergeCell ref="J1:M1"/>
    <mergeCell ref="P1:S1"/>
    <mergeCell ref="I14:J14"/>
    <mergeCell ref="A16:B16"/>
  </mergeCells>
  <pageMargins left="0.7" right="0.7" top="0.75" bottom="0.75" header="0.3" footer="0.3"/>
  <pageSetup paperSize="9" scale="3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opLeftCell="J1" workbookViewId="0">
      <selection activeCell="K22" sqref="K22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19.5703125" style="31" customWidth="1"/>
    <col min="7" max="7" width="18.5703125" style="31" hidden="1" customWidth="1"/>
    <col min="8" max="8" width="12.28515625" style="31" hidden="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4" width="22.7109375" style="31" customWidth="1"/>
    <col min="15" max="15" width="17.140625" style="30" customWidth="1"/>
    <col min="16" max="16" width="5.42578125" style="31" customWidth="1"/>
    <col min="17" max="17" width="25" style="29" customWidth="1"/>
    <col min="18" max="18" width="9.42578125" style="31" customWidth="1"/>
    <col min="19" max="19" width="22.7109375" style="29" customWidth="1"/>
    <col min="20" max="20" width="25.140625" style="29" customWidth="1"/>
    <col min="21" max="21" width="22.42578125" style="29" customWidth="1"/>
    <col min="22" max="22" width="29" style="29" customWidth="1"/>
    <col min="23" max="16384" width="9.140625" style="29"/>
  </cols>
  <sheetData>
    <row r="1" spans="1:32" s="28" customFormat="1" ht="60.75" customHeight="1" x14ac:dyDescent="0.25">
      <c r="A1" s="247" t="s">
        <v>89</v>
      </c>
      <c r="B1" s="247"/>
      <c r="C1" s="247"/>
      <c r="D1" s="247"/>
      <c r="E1" s="247"/>
      <c r="F1" s="247"/>
      <c r="G1" s="144"/>
      <c r="H1" s="144"/>
      <c r="I1" s="17"/>
      <c r="J1" s="250" t="s">
        <v>131</v>
      </c>
      <c r="K1" s="250"/>
      <c r="L1" s="250"/>
      <c r="M1" s="250"/>
      <c r="N1" s="250"/>
      <c r="O1" s="26"/>
      <c r="P1" s="27"/>
      <c r="Q1" s="247" t="s">
        <v>92</v>
      </c>
      <c r="R1" s="247"/>
      <c r="S1" s="247"/>
      <c r="T1" s="247"/>
    </row>
    <row r="2" spans="1:32" s="27" customFormat="1" ht="54.75" customHeight="1" x14ac:dyDescent="0.25">
      <c r="A2" s="93" t="s">
        <v>0</v>
      </c>
      <c r="B2" s="93" t="s">
        <v>1</v>
      </c>
      <c r="C2" s="94" t="s">
        <v>109</v>
      </c>
      <c r="D2" s="94" t="s">
        <v>90</v>
      </c>
      <c r="E2" s="94" t="s">
        <v>107</v>
      </c>
      <c r="F2" s="94" t="s">
        <v>41</v>
      </c>
      <c r="G2" s="145"/>
      <c r="H2" s="145"/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17"/>
      <c r="P2" s="93" t="s">
        <v>0</v>
      </c>
      <c r="Q2" s="93" t="s">
        <v>45</v>
      </c>
      <c r="R2" s="93" t="s">
        <v>16</v>
      </c>
      <c r="S2" s="93" t="s">
        <v>42</v>
      </c>
      <c r="T2" s="93" t="s">
        <v>43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x14ac:dyDescent="0.25">
      <c r="A3" s="6">
        <v>1</v>
      </c>
      <c r="B3" s="3" t="s">
        <v>8</v>
      </c>
      <c r="C3" s="106">
        <v>40000000000</v>
      </c>
      <c r="D3" s="106">
        <v>20000000000</v>
      </c>
      <c r="E3" s="106">
        <v>25000000000</v>
      </c>
      <c r="F3" s="106">
        <f t="shared" ref="F3:F5" si="0">D3+E3</f>
        <v>45000000000</v>
      </c>
      <c r="G3" s="146" t="e">
        <f>#REF!-#REF!</f>
        <v>#REF!</v>
      </c>
      <c r="H3" s="147" t="e">
        <f>#REF!-N3</f>
        <v>#REF!</v>
      </c>
      <c r="I3" s="9"/>
      <c r="J3" s="35">
        <v>1</v>
      </c>
      <c r="K3" s="3" t="s">
        <v>8</v>
      </c>
      <c r="L3" s="12">
        <v>7050</v>
      </c>
      <c r="M3" s="13">
        <v>51807502015</v>
      </c>
      <c r="N3" s="13">
        <v>44011492600.440002</v>
      </c>
      <c r="O3" s="13"/>
      <c r="P3" s="18">
        <v>1</v>
      </c>
      <c r="Q3" s="1" t="s">
        <v>44</v>
      </c>
      <c r="R3" s="18">
        <v>482</v>
      </c>
      <c r="S3" s="15">
        <v>4501017503</v>
      </c>
      <c r="T3" s="15">
        <v>3767853149.9000001</v>
      </c>
    </row>
    <row r="4" spans="1:32" x14ac:dyDescent="0.25">
      <c r="A4" s="6">
        <v>2</v>
      </c>
      <c r="B4" s="3" t="s">
        <v>5</v>
      </c>
      <c r="C4" s="106">
        <v>31893000000</v>
      </c>
      <c r="D4" s="106">
        <v>20000000000</v>
      </c>
      <c r="E4" s="106">
        <v>30000000000</v>
      </c>
      <c r="F4" s="106">
        <f t="shared" si="0"/>
        <v>50000000000</v>
      </c>
      <c r="G4" s="146"/>
      <c r="H4" s="147">
        <f>F3-N3</f>
        <v>988507399.55999756</v>
      </c>
      <c r="I4" s="9"/>
      <c r="J4" s="35">
        <v>2</v>
      </c>
      <c r="K4" s="3" t="s">
        <v>5</v>
      </c>
      <c r="L4" s="12">
        <v>9155</v>
      </c>
      <c r="M4" s="13">
        <v>59025328843</v>
      </c>
      <c r="N4" s="13">
        <v>49663238837.699997</v>
      </c>
      <c r="O4" s="13"/>
      <c r="P4" s="18">
        <v>2</v>
      </c>
      <c r="Q4" s="1" t="s">
        <v>19</v>
      </c>
      <c r="R4" s="18">
        <v>1804</v>
      </c>
      <c r="S4" s="15">
        <v>12558919509</v>
      </c>
      <c r="T4" s="2">
        <v>10421667470</v>
      </c>
    </row>
    <row r="5" spans="1:32" x14ac:dyDescent="0.25">
      <c r="A5" s="6">
        <v>3</v>
      </c>
      <c r="B5" s="3" t="s">
        <v>11</v>
      </c>
      <c r="C5" s="106">
        <v>8820000000</v>
      </c>
      <c r="D5" s="106">
        <v>4445000000</v>
      </c>
      <c r="E5" s="106">
        <v>5400000000</v>
      </c>
      <c r="F5" s="106">
        <f t="shared" si="0"/>
        <v>9845000000</v>
      </c>
      <c r="G5" s="146"/>
      <c r="H5" s="147">
        <f>F4-N4</f>
        <v>336761162.30000305</v>
      </c>
      <c r="I5" s="9"/>
      <c r="J5" s="35">
        <v>3</v>
      </c>
      <c r="K5" s="3" t="s">
        <v>37</v>
      </c>
      <c r="L5" s="12">
        <v>874</v>
      </c>
      <c r="M5" s="13">
        <v>12526856694</v>
      </c>
      <c r="N5" s="13">
        <v>10068101988.9</v>
      </c>
      <c r="O5" s="13"/>
      <c r="P5" s="18">
        <v>3</v>
      </c>
      <c r="Q5" s="1" t="s">
        <v>20</v>
      </c>
      <c r="R5" s="18">
        <v>616</v>
      </c>
      <c r="S5" s="2">
        <v>4705825820</v>
      </c>
      <c r="T5" s="2">
        <v>3987966443.9000001</v>
      </c>
    </row>
    <row r="6" spans="1:32" x14ac:dyDescent="0.25">
      <c r="A6" s="6">
        <v>4</v>
      </c>
      <c r="B6" s="3" t="s">
        <v>36</v>
      </c>
      <c r="C6" s="106">
        <v>13180000000</v>
      </c>
      <c r="D6" s="106">
        <v>2500000000</v>
      </c>
      <c r="E6" s="106"/>
      <c r="F6" s="106">
        <f t="shared" ref="F6:F9" si="1">D6+E6</f>
        <v>2500000000</v>
      </c>
      <c r="G6" s="146"/>
      <c r="H6" s="147" t="e">
        <f>#REF!-#REF!</f>
        <v>#REF!</v>
      </c>
      <c r="I6" s="9"/>
      <c r="J6" s="35">
        <v>4</v>
      </c>
      <c r="K6" s="3" t="s">
        <v>47</v>
      </c>
      <c r="L6" s="12">
        <v>269</v>
      </c>
      <c r="M6" s="13">
        <v>3457051000</v>
      </c>
      <c r="N6" s="13">
        <v>2908333200</v>
      </c>
      <c r="O6" s="13"/>
      <c r="P6" s="18">
        <v>4</v>
      </c>
      <c r="Q6" s="1" t="s">
        <v>21</v>
      </c>
      <c r="R6" s="18">
        <v>1061</v>
      </c>
      <c r="S6" s="2">
        <v>9607530355</v>
      </c>
      <c r="T6" s="2">
        <v>8132595063.6999998</v>
      </c>
    </row>
    <row r="7" spans="1:32" x14ac:dyDescent="0.25">
      <c r="A7" s="6">
        <v>5</v>
      </c>
      <c r="B7" s="3" t="s">
        <v>7</v>
      </c>
      <c r="C7" s="106">
        <v>5000000000</v>
      </c>
      <c r="D7" s="106">
        <v>2500000000</v>
      </c>
      <c r="E7" s="106"/>
      <c r="F7" s="106">
        <f t="shared" si="1"/>
        <v>2500000000</v>
      </c>
      <c r="G7" s="146"/>
      <c r="H7" s="147">
        <f>F5-N5</f>
        <v>-223101988.89999962</v>
      </c>
      <c r="I7" s="9"/>
      <c r="J7" s="35">
        <v>5</v>
      </c>
      <c r="K7" s="3" t="s">
        <v>7</v>
      </c>
      <c r="L7" s="12">
        <v>240</v>
      </c>
      <c r="M7" s="13">
        <v>1770427841</v>
      </c>
      <c r="N7" s="13">
        <v>1504863665.25</v>
      </c>
      <c r="O7" s="13"/>
      <c r="P7" s="18">
        <v>5</v>
      </c>
      <c r="Q7" s="1" t="s">
        <v>22</v>
      </c>
      <c r="R7" s="18">
        <v>827</v>
      </c>
      <c r="S7" s="2">
        <v>5769645155</v>
      </c>
      <c r="T7" s="2">
        <v>4766116506.4400005</v>
      </c>
    </row>
    <row r="8" spans="1:32" x14ac:dyDescent="0.25">
      <c r="A8" s="6">
        <v>6</v>
      </c>
      <c r="B8" s="3" t="s">
        <v>9</v>
      </c>
      <c r="C8" s="106">
        <v>3397000000</v>
      </c>
      <c r="D8" s="106">
        <v>1500000000</v>
      </c>
      <c r="E8" s="106"/>
      <c r="F8" s="106">
        <f t="shared" ref="F8" si="2">D8+E8</f>
        <v>1500000000</v>
      </c>
      <c r="G8" s="146"/>
      <c r="H8" s="147">
        <f>F6-N7</f>
        <v>995136334.75</v>
      </c>
      <c r="I8" s="9"/>
      <c r="J8" s="35">
        <v>6</v>
      </c>
      <c r="K8" s="3" t="s">
        <v>9</v>
      </c>
      <c r="L8" s="12">
        <v>65</v>
      </c>
      <c r="M8" s="13">
        <v>912924400</v>
      </c>
      <c r="N8" s="13">
        <v>672591077</v>
      </c>
      <c r="O8" s="13"/>
      <c r="P8" s="18">
        <v>6</v>
      </c>
      <c r="Q8" s="1" t="s">
        <v>23</v>
      </c>
      <c r="R8" s="18">
        <v>1854</v>
      </c>
      <c r="S8" s="2">
        <v>11166897873</v>
      </c>
      <c r="T8" s="2">
        <v>9464003165.6000004</v>
      </c>
    </row>
    <row r="9" spans="1:32" x14ac:dyDescent="0.25">
      <c r="A9" s="6">
        <v>7</v>
      </c>
      <c r="B9" s="3" t="s">
        <v>130</v>
      </c>
      <c r="C9" s="106">
        <v>443500000</v>
      </c>
      <c r="D9" s="106">
        <v>443500000</v>
      </c>
      <c r="E9" s="106"/>
      <c r="F9" s="106">
        <f t="shared" si="1"/>
        <v>443500000</v>
      </c>
      <c r="G9" s="146"/>
      <c r="H9" s="147" t="e">
        <f>#REF!-#REF!</f>
        <v>#REF!</v>
      </c>
      <c r="I9" s="9"/>
      <c r="J9" s="6">
        <v>7</v>
      </c>
      <c r="K9" s="3" t="s">
        <v>130</v>
      </c>
      <c r="L9" s="12">
        <v>5</v>
      </c>
      <c r="M9" s="13">
        <v>85000000</v>
      </c>
      <c r="N9" s="13">
        <v>72250000</v>
      </c>
      <c r="O9" s="13"/>
      <c r="P9" s="18">
        <v>7</v>
      </c>
      <c r="Q9" s="1" t="s">
        <v>24</v>
      </c>
      <c r="R9" s="18">
        <v>1039</v>
      </c>
      <c r="S9" s="2">
        <v>6836432793</v>
      </c>
      <c r="T9" s="2">
        <v>5743679356.5</v>
      </c>
    </row>
    <row r="10" spans="1:32" x14ac:dyDescent="0.25">
      <c r="A10" s="248" t="s">
        <v>14</v>
      </c>
      <c r="B10" s="249"/>
      <c r="C10" s="212">
        <f>SUM(C3:C9)</f>
        <v>102733500000</v>
      </c>
      <c r="D10" s="98">
        <f>SUM(D3:D9)</f>
        <v>51388500000</v>
      </c>
      <c r="E10" s="98">
        <f>SUM(E3:E9)</f>
        <v>60400000000</v>
      </c>
      <c r="F10" s="98">
        <f>SUM(F3:F9)</f>
        <v>111788500000</v>
      </c>
      <c r="G10" s="146"/>
      <c r="H10" s="147">
        <f>F7-N9</f>
        <v>2427750000</v>
      </c>
      <c r="I10" s="9"/>
      <c r="J10" s="248" t="s">
        <v>18</v>
      </c>
      <c r="K10" s="249"/>
      <c r="L10" s="108">
        <f>SUM(L3:L9)</f>
        <v>17658</v>
      </c>
      <c r="M10" s="109">
        <f>SUM(M3:M9)</f>
        <v>129585090793</v>
      </c>
      <c r="N10" s="109">
        <f>SUM(N3:N9)</f>
        <v>108900871369.28999</v>
      </c>
      <c r="O10" s="13"/>
      <c r="P10" s="18">
        <v>8</v>
      </c>
      <c r="Q10" s="1" t="s">
        <v>25</v>
      </c>
      <c r="R10" s="18">
        <v>887</v>
      </c>
      <c r="S10" s="2">
        <v>7156976404</v>
      </c>
      <c r="T10" s="2">
        <v>6001306938</v>
      </c>
    </row>
    <row r="11" spans="1:32" x14ac:dyDescent="0.25">
      <c r="G11" s="146"/>
      <c r="H11" s="147">
        <f>F9-N6</f>
        <v>-2464833200</v>
      </c>
      <c r="I11" s="9"/>
      <c r="J11" s="9"/>
      <c r="M11" s="148" t="s">
        <v>83</v>
      </c>
      <c r="N11" s="148" t="s">
        <v>83</v>
      </c>
      <c r="O11" s="14"/>
      <c r="P11" s="18">
        <v>9</v>
      </c>
      <c r="Q11" s="1" t="s">
        <v>26</v>
      </c>
      <c r="R11" s="18">
        <v>655</v>
      </c>
      <c r="S11" s="2">
        <v>5322717763</v>
      </c>
      <c r="T11" s="2">
        <v>4475811086.25</v>
      </c>
    </row>
    <row r="12" spans="1:32" x14ac:dyDescent="0.25">
      <c r="B12" s="230"/>
      <c r="C12" s="146"/>
      <c r="D12" s="146"/>
      <c r="E12" s="146"/>
      <c r="F12" s="146"/>
      <c r="G12" s="146"/>
      <c r="H12" s="147"/>
      <c r="I12" s="9"/>
      <c r="J12" s="9"/>
      <c r="M12" s="148"/>
      <c r="N12" s="148"/>
      <c r="P12" s="18">
        <v>10</v>
      </c>
      <c r="Q12" s="1" t="s">
        <v>27</v>
      </c>
      <c r="R12" s="18">
        <v>1283</v>
      </c>
      <c r="S12" s="2">
        <v>7728199964</v>
      </c>
      <c r="T12" s="2">
        <v>6473097115.1999998</v>
      </c>
    </row>
    <row r="13" spans="1:32" x14ac:dyDescent="0.25">
      <c r="B13" s="230"/>
      <c r="C13" s="146"/>
      <c r="D13" s="146"/>
      <c r="E13" s="146"/>
      <c r="F13" s="146"/>
      <c r="G13" s="146"/>
      <c r="H13" s="147"/>
      <c r="I13" s="9"/>
      <c r="J13" s="9"/>
      <c r="N13" s="150"/>
      <c r="P13" s="18">
        <v>11</v>
      </c>
      <c r="Q13" s="1" t="s">
        <v>28</v>
      </c>
      <c r="R13" s="18">
        <v>1339</v>
      </c>
      <c r="S13" s="2">
        <v>10568554347</v>
      </c>
      <c r="T13" s="2">
        <v>8940936324.5</v>
      </c>
    </row>
    <row r="14" spans="1:32" x14ac:dyDescent="0.25">
      <c r="G14" s="146"/>
      <c r="H14" s="147"/>
      <c r="I14" s="9"/>
      <c r="J14" s="9"/>
      <c r="K14" s="192" t="s">
        <v>83</v>
      </c>
      <c r="L14" s="29"/>
      <c r="M14" s="150"/>
      <c r="P14" s="18">
        <v>12</v>
      </c>
      <c r="Q14" s="1" t="s">
        <v>29</v>
      </c>
      <c r="R14" s="18">
        <v>641</v>
      </c>
      <c r="S14" s="2">
        <v>5270874901</v>
      </c>
      <c r="T14" s="2">
        <v>4458011410.6999998</v>
      </c>
    </row>
    <row r="15" spans="1:32" x14ac:dyDescent="0.25">
      <c r="G15" s="146"/>
      <c r="H15" s="147"/>
      <c r="I15" s="9"/>
      <c r="J15" s="10"/>
      <c r="K15" s="192"/>
      <c r="N15" s="150"/>
      <c r="P15" s="18">
        <v>13</v>
      </c>
      <c r="Q15" s="1" t="s">
        <v>30</v>
      </c>
      <c r="R15" s="18">
        <v>329</v>
      </c>
      <c r="S15" s="2">
        <v>2955837437</v>
      </c>
      <c r="T15" s="2">
        <v>2482668911</v>
      </c>
    </row>
    <row r="16" spans="1:32" x14ac:dyDescent="0.25">
      <c r="G16" s="98"/>
      <c r="H16" s="98"/>
      <c r="I16" s="10"/>
      <c r="K16" s="192" t="s">
        <v>83</v>
      </c>
      <c r="M16" s="150" t="s">
        <v>83</v>
      </c>
      <c r="N16" s="31" t="s">
        <v>83</v>
      </c>
      <c r="P16" s="18">
        <v>14</v>
      </c>
      <c r="Q16" s="1" t="s">
        <v>31</v>
      </c>
      <c r="R16" s="18">
        <v>919</v>
      </c>
      <c r="S16" s="2">
        <v>5635637000</v>
      </c>
      <c r="T16" s="2">
        <v>4766308750</v>
      </c>
    </row>
    <row r="17" spans="1:24" x14ac:dyDescent="0.25">
      <c r="K17" s="192"/>
      <c r="L17" s="31" t="s">
        <v>83</v>
      </c>
      <c r="M17" s="31" t="s">
        <v>83</v>
      </c>
      <c r="N17" s="31" t="s">
        <v>83</v>
      </c>
      <c r="P17" s="18">
        <v>15</v>
      </c>
      <c r="Q17" s="3" t="s">
        <v>113</v>
      </c>
      <c r="R17" s="12">
        <v>48</v>
      </c>
      <c r="S17" s="36">
        <v>450327000</v>
      </c>
      <c r="T17" s="36">
        <v>382777950</v>
      </c>
    </row>
    <row r="18" spans="1:24" x14ac:dyDescent="0.25">
      <c r="C18" s="29" t="s">
        <v>83</v>
      </c>
      <c r="F18" s="150"/>
      <c r="K18" s="192"/>
      <c r="L18" s="31" t="s">
        <v>83</v>
      </c>
      <c r="M18" s="150" t="s">
        <v>83</v>
      </c>
      <c r="P18" s="18">
        <v>16</v>
      </c>
      <c r="Q18" s="3" t="s">
        <v>110</v>
      </c>
      <c r="R18" s="12">
        <v>235</v>
      </c>
      <c r="S18" s="36">
        <v>2758739178</v>
      </c>
      <c r="T18" s="36">
        <v>2240547455</v>
      </c>
    </row>
    <row r="19" spans="1:24" x14ac:dyDescent="0.25">
      <c r="K19" s="29" t="s">
        <v>83</v>
      </c>
      <c r="M19" s="31" t="s">
        <v>83</v>
      </c>
      <c r="N19" s="31" t="s">
        <v>83</v>
      </c>
      <c r="P19" s="12">
        <v>17</v>
      </c>
      <c r="Q19" s="3" t="s">
        <v>114</v>
      </c>
      <c r="R19" s="12">
        <v>116</v>
      </c>
      <c r="S19" s="36">
        <v>1050878980</v>
      </c>
      <c r="T19" s="36">
        <v>893247133</v>
      </c>
    </row>
    <row r="20" spans="1:24" x14ac:dyDescent="0.25">
      <c r="E20" s="179"/>
      <c r="M20" s="150"/>
      <c r="P20" s="12">
        <v>18</v>
      </c>
      <c r="Q20" s="3" t="s">
        <v>128</v>
      </c>
      <c r="R20" s="12">
        <v>1302</v>
      </c>
      <c r="S20" s="36">
        <v>11090558737</v>
      </c>
      <c r="T20" s="36">
        <v>9269930217</v>
      </c>
    </row>
    <row r="21" spans="1:24" x14ac:dyDescent="0.25">
      <c r="E21" s="179"/>
      <c r="K21" s="29" t="s">
        <v>83</v>
      </c>
      <c r="P21" s="12">
        <v>19</v>
      </c>
      <c r="Q21" s="1" t="s">
        <v>33</v>
      </c>
      <c r="R21" s="18">
        <v>967</v>
      </c>
      <c r="S21" s="2">
        <v>6985181701</v>
      </c>
      <c r="T21" s="2">
        <v>5913774431.8000002</v>
      </c>
    </row>
    <row r="22" spans="1:24" x14ac:dyDescent="0.25">
      <c r="E22" s="179"/>
      <c r="K22" s="29" t="s">
        <v>83</v>
      </c>
      <c r="M22" s="150"/>
      <c r="O22" s="30" t="s">
        <v>83</v>
      </c>
      <c r="P22" s="12">
        <v>20</v>
      </c>
      <c r="Q22" s="1" t="s">
        <v>32</v>
      </c>
      <c r="R22" s="18">
        <v>1274</v>
      </c>
      <c r="S22" s="2">
        <v>7636945569</v>
      </c>
      <c r="T22" s="2">
        <v>6473658603.6000004</v>
      </c>
    </row>
    <row r="23" spans="1:24" x14ac:dyDescent="0.25">
      <c r="P23" s="110"/>
      <c r="Q23" s="111" t="s">
        <v>18</v>
      </c>
      <c r="R23" s="112">
        <f>SUM(R3:R22)</f>
        <v>17678</v>
      </c>
      <c r="S23" s="113">
        <f>SUM(S3:S22)</f>
        <v>129757697989</v>
      </c>
      <c r="T23" s="113">
        <f>SUM(T3:T22)</f>
        <v>109055957482.09</v>
      </c>
    </row>
    <row r="24" spans="1:24" x14ac:dyDescent="0.25">
      <c r="K24" s="34"/>
      <c r="M24" s="31" t="s">
        <v>83</v>
      </c>
      <c r="N24" s="31" t="s">
        <v>83</v>
      </c>
      <c r="P24" s="19"/>
      <c r="Q24" s="30"/>
      <c r="S24" s="34"/>
      <c r="T24" s="34"/>
    </row>
    <row r="25" spans="1:24" x14ac:dyDescent="0.25">
      <c r="A25" s="29"/>
      <c r="D25" s="29"/>
      <c r="E25" s="180"/>
      <c r="F25" s="29"/>
      <c r="K25" s="29" t="s">
        <v>83</v>
      </c>
      <c r="L25" s="31" t="s">
        <v>83</v>
      </c>
      <c r="P25" s="19"/>
      <c r="Q25" s="30"/>
    </row>
    <row r="26" spans="1:24" x14ac:dyDescent="0.25">
      <c r="A26" s="29"/>
      <c r="D26" s="29"/>
      <c r="E26" s="180"/>
      <c r="F26" s="29"/>
      <c r="P26" s="19" t="s">
        <v>83</v>
      </c>
      <c r="Q26" s="29" t="s">
        <v>83</v>
      </c>
    </row>
    <row r="27" spans="1:24" x14ac:dyDescent="0.25">
      <c r="A27" s="29"/>
      <c r="D27" s="29"/>
      <c r="E27" s="29"/>
      <c r="F27" s="29"/>
      <c r="O27" s="30" t="s">
        <v>83</v>
      </c>
    </row>
    <row r="28" spans="1:24" x14ac:dyDescent="0.25">
      <c r="A28" s="29"/>
      <c r="D28" s="29"/>
      <c r="E28" s="29"/>
      <c r="F28" s="29"/>
    </row>
    <row r="29" spans="1:24" x14ac:dyDescent="0.25">
      <c r="A29" s="29"/>
      <c r="D29" s="29"/>
      <c r="E29" s="29"/>
      <c r="F29" s="29"/>
      <c r="Q29" s="29" t="s">
        <v>83</v>
      </c>
    </row>
    <row r="30" spans="1:24" x14ac:dyDescent="0.25">
      <c r="A30" s="29"/>
      <c r="D30" s="29"/>
      <c r="E30" s="29"/>
      <c r="F30" s="29"/>
      <c r="Q30" s="29" t="s">
        <v>83</v>
      </c>
    </row>
    <row r="31" spans="1:24" x14ac:dyDescent="0.25">
      <c r="G31" s="29"/>
      <c r="H31" s="29"/>
      <c r="O31" s="30" t="s">
        <v>83</v>
      </c>
    </row>
    <row r="32" spans="1:24" x14ac:dyDescent="0.25">
      <c r="G32" s="29"/>
      <c r="H32" s="29"/>
      <c r="X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Q1:T1"/>
    <mergeCell ref="J10:K10"/>
    <mergeCell ref="A10:B10"/>
    <mergeCell ref="J1:N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topLeftCell="J1" workbookViewId="0">
      <selection activeCell="K17" sqref="K17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24.7109375" style="31" bestFit="1" customWidth="1"/>
    <col min="7" max="7" width="18.5703125" style="31" hidden="1" customWidth="1"/>
    <col min="8" max="8" width="17.85546875" style="3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7" width="22.7109375" style="31" customWidth="1"/>
    <col min="18" max="18" width="17.140625" style="30" customWidth="1"/>
    <col min="19" max="19" width="5.42578125" style="31" customWidth="1"/>
    <col min="20" max="20" width="25" style="29" customWidth="1"/>
    <col min="21" max="21" width="9.42578125" style="31" customWidth="1"/>
    <col min="22" max="22" width="22.7109375" style="29" customWidth="1"/>
    <col min="23" max="23" width="25.140625" style="29" customWidth="1"/>
    <col min="24" max="24" width="22.42578125" style="29" customWidth="1"/>
    <col min="25" max="25" width="29" style="29" customWidth="1"/>
    <col min="26" max="16384" width="9.140625" style="29"/>
  </cols>
  <sheetData>
    <row r="1" spans="1:35" s="28" customFormat="1" ht="60.75" customHeight="1" x14ac:dyDescent="0.25">
      <c r="A1" s="247" t="s">
        <v>138</v>
      </c>
      <c r="B1" s="247"/>
      <c r="C1" s="247"/>
      <c r="D1" s="247"/>
      <c r="E1" s="247"/>
      <c r="F1" s="247"/>
      <c r="G1" s="144"/>
      <c r="H1" s="144"/>
      <c r="I1" s="17"/>
      <c r="J1" s="250" t="s">
        <v>146</v>
      </c>
      <c r="K1" s="250"/>
      <c r="L1" s="250"/>
      <c r="M1" s="250"/>
      <c r="N1" s="250"/>
      <c r="O1" s="8"/>
      <c r="P1" s="8"/>
      <c r="Q1" s="8"/>
      <c r="R1" s="26"/>
      <c r="S1" s="27"/>
      <c r="T1" s="247" t="s">
        <v>136</v>
      </c>
      <c r="U1" s="247"/>
      <c r="V1" s="247"/>
      <c r="W1" s="247"/>
    </row>
    <row r="2" spans="1:35" s="27" customFormat="1" ht="54.75" customHeight="1" x14ac:dyDescent="0.25">
      <c r="A2" s="93" t="s">
        <v>0</v>
      </c>
      <c r="B2" s="93" t="s">
        <v>1</v>
      </c>
      <c r="C2" s="94" t="s">
        <v>134</v>
      </c>
      <c r="D2" s="94" t="s">
        <v>141</v>
      </c>
      <c r="E2" s="94" t="s">
        <v>135</v>
      </c>
      <c r="F2" s="94" t="s">
        <v>142</v>
      </c>
      <c r="G2" s="145"/>
      <c r="H2" s="94" t="s">
        <v>145</v>
      </c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94" t="s">
        <v>139</v>
      </c>
      <c r="P2" s="94" t="s">
        <v>143</v>
      </c>
      <c r="Q2" s="94" t="s">
        <v>144</v>
      </c>
      <c r="R2" s="243" t="s">
        <v>140</v>
      </c>
      <c r="S2" s="93" t="s">
        <v>0</v>
      </c>
      <c r="T2" s="93" t="s">
        <v>45</v>
      </c>
      <c r="U2" s="93" t="s">
        <v>16</v>
      </c>
      <c r="V2" s="93" t="s">
        <v>42</v>
      </c>
      <c r="W2" s="93" t="s">
        <v>43</v>
      </c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5" x14ac:dyDescent="0.25">
      <c r="A3" s="6">
        <v>1</v>
      </c>
      <c r="B3" s="3" t="s">
        <v>8</v>
      </c>
      <c r="C3" s="106">
        <v>5000000000</v>
      </c>
      <c r="D3" s="106">
        <v>3750000000</v>
      </c>
      <c r="E3" s="106"/>
      <c r="F3" s="106">
        <v>3750000000</v>
      </c>
      <c r="G3" s="146" t="e">
        <f>#REF!-#REF!</f>
        <v>#REF!</v>
      </c>
      <c r="H3" s="106">
        <f>F3*20%</f>
        <v>750000000</v>
      </c>
      <c r="I3" s="9"/>
      <c r="J3" s="35">
        <v>1</v>
      </c>
      <c r="K3" s="3" t="s">
        <v>8</v>
      </c>
      <c r="L3" s="12">
        <v>284</v>
      </c>
      <c r="M3" s="13">
        <v>3270616000</v>
      </c>
      <c r="N3" s="13">
        <v>2780023600</v>
      </c>
      <c r="O3" s="13">
        <f>N3*20%</f>
        <v>556004720</v>
      </c>
      <c r="P3" s="13">
        <f>F3-N3</f>
        <v>969976400</v>
      </c>
      <c r="Q3" s="13">
        <f>P3*20%</f>
        <v>193995280</v>
      </c>
      <c r="R3" s="13">
        <f t="shared" ref="R3:R8" si="0">N3/M3</f>
        <v>0.85</v>
      </c>
      <c r="S3" s="18">
        <v>1</v>
      </c>
      <c r="T3" s="1" t="s">
        <v>44</v>
      </c>
      <c r="U3" s="18">
        <v>91</v>
      </c>
      <c r="V3" s="15">
        <v>1058366793</v>
      </c>
      <c r="W3" s="15">
        <v>860725669</v>
      </c>
    </row>
    <row r="4" spans="1:35" x14ac:dyDescent="0.25">
      <c r="A4" s="6">
        <v>2</v>
      </c>
      <c r="B4" s="3" t="s">
        <v>5</v>
      </c>
      <c r="C4" s="106">
        <v>200000000000</v>
      </c>
      <c r="D4" s="106">
        <v>22500000000</v>
      </c>
      <c r="E4" s="106"/>
      <c r="F4" s="106">
        <v>22500000000</v>
      </c>
      <c r="G4" s="146"/>
      <c r="H4" s="106">
        <f t="shared" ref="H4:H9" si="1">F4*20%</f>
        <v>4500000000</v>
      </c>
      <c r="I4" s="9"/>
      <c r="J4" s="35">
        <v>2</v>
      </c>
      <c r="K4" s="3" t="s">
        <v>5</v>
      </c>
      <c r="L4" s="12">
        <v>2591</v>
      </c>
      <c r="M4" s="13">
        <v>18091468000</v>
      </c>
      <c r="N4" s="13">
        <v>15377747800</v>
      </c>
      <c r="O4" s="13">
        <f>N4*20%</f>
        <v>3075549560</v>
      </c>
      <c r="P4" s="13">
        <f t="shared" ref="P4:P9" si="2">F4-N4</f>
        <v>7122252200</v>
      </c>
      <c r="Q4" s="13">
        <f t="shared" ref="Q4:Q10" si="3">P4*20%</f>
        <v>1424450440</v>
      </c>
      <c r="R4" s="13">
        <f t="shared" si="0"/>
        <v>0.85</v>
      </c>
      <c r="S4" s="18">
        <v>2</v>
      </c>
      <c r="T4" s="1" t="s">
        <v>19</v>
      </c>
      <c r="U4" s="18">
        <v>244</v>
      </c>
      <c r="V4" s="15">
        <v>2002315000</v>
      </c>
      <c r="W4" s="2">
        <v>1701967750</v>
      </c>
    </row>
    <row r="5" spans="1:35" x14ac:dyDescent="0.25">
      <c r="A5" s="6">
        <v>3</v>
      </c>
      <c r="B5" s="3" t="s">
        <v>11</v>
      </c>
      <c r="C5" s="106">
        <v>26044050000</v>
      </c>
      <c r="D5" s="106">
        <v>7500000000</v>
      </c>
      <c r="E5" s="106"/>
      <c r="F5" s="106">
        <v>7500000000</v>
      </c>
      <c r="G5" s="146"/>
      <c r="H5" s="106">
        <f t="shared" si="1"/>
        <v>1500000000</v>
      </c>
      <c r="I5" s="9"/>
      <c r="J5" s="35">
        <v>3</v>
      </c>
      <c r="K5" s="3" t="s">
        <v>37</v>
      </c>
      <c r="L5" s="12">
        <v>166</v>
      </c>
      <c r="M5" s="13">
        <v>1870908093</v>
      </c>
      <c r="N5" s="13">
        <v>1540866379</v>
      </c>
      <c r="O5" s="13">
        <f>N5*20%</f>
        <v>308173275.80000001</v>
      </c>
      <c r="P5" s="13">
        <f t="shared" si="2"/>
        <v>5959133621</v>
      </c>
      <c r="Q5" s="13">
        <f t="shared" si="3"/>
        <v>1191826724.2</v>
      </c>
      <c r="R5" s="13">
        <f>N5/M5</f>
        <v>0.82359277014469567</v>
      </c>
      <c r="S5" s="18">
        <v>3</v>
      </c>
      <c r="T5" s="1" t="s">
        <v>20</v>
      </c>
      <c r="U5" s="18">
        <v>61</v>
      </c>
      <c r="V5" s="15">
        <v>641454000</v>
      </c>
      <c r="W5" s="15">
        <v>545235900</v>
      </c>
    </row>
    <row r="6" spans="1:35" x14ac:dyDescent="0.25">
      <c r="A6" s="6">
        <v>4</v>
      </c>
      <c r="B6" s="3" t="s">
        <v>36</v>
      </c>
      <c r="C6" s="106">
        <v>1724650000</v>
      </c>
      <c r="D6" s="106">
        <v>1125000000</v>
      </c>
      <c r="E6" s="106"/>
      <c r="F6" s="106">
        <v>1125000000</v>
      </c>
      <c r="G6" s="146"/>
      <c r="H6" s="106">
        <f t="shared" si="1"/>
        <v>225000000</v>
      </c>
      <c r="I6" s="9"/>
      <c r="J6" s="35">
        <v>4</v>
      </c>
      <c r="K6" s="3" t="s">
        <v>47</v>
      </c>
      <c r="L6" s="12">
        <v>0</v>
      </c>
      <c r="M6" s="13">
        <v>0</v>
      </c>
      <c r="N6" s="13">
        <v>0</v>
      </c>
      <c r="O6" s="13">
        <v>0</v>
      </c>
      <c r="P6" s="13">
        <f t="shared" si="2"/>
        <v>1125000000</v>
      </c>
      <c r="Q6" s="13">
        <f t="shared" si="3"/>
        <v>225000000</v>
      </c>
      <c r="R6" s="13" t="e">
        <f t="shared" si="0"/>
        <v>#DIV/0!</v>
      </c>
      <c r="S6" s="18">
        <v>4</v>
      </c>
      <c r="T6" s="1" t="s">
        <v>21</v>
      </c>
      <c r="U6" s="18">
        <v>207</v>
      </c>
      <c r="V6" s="2">
        <v>2050984000</v>
      </c>
      <c r="W6" s="2">
        <v>1743336400</v>
      </c>
    </row>
    <row r="7" spans="1:35" x14ac:dyDescent="0.25">
      <c r="A7" s="6">
        <v>5</v>
      </c>
      <c r="B7" s="3" t="s">
        <v>7</v>
      </c>
      <c r="C7" s="106">
        <v>4000000000</v>
      </c>
      <c r="D7" s="106">
        <v>1500000000</v>
      </c>
      <c r="E7" s="106"/>
      <c r="F7" s="106">
        <v>1500000000</v>
      </c>
      <c r="G7" s="146"/>
      <c r="H7" s="106">
        <f t="shared" si="1"/>
        <v>300000000</v>
      </c>
      <c r="I7" s="9"/>
      <c r="J7" s="35">
        <v>5</v>
      </c>
      <c r="K7" s="3" t="s">
        <v>7</v>
      </c>
      <c r="L7" s="12">
        <v>85</v>
      </c>
      <c r="M7" s="13">
        <v>1210035300</v>
      </c>
      <c r="N7" s="13">
        <v>1028530005</v>
      </c>
      <c r="O7" s="13">
        <f>N7*20%</f>
        <v>205706001</v>
      </c>
      <c r="P7" s="13">
        <f t="shared" si="2"/>
        <v>471469995</v>
      </c>
      <c r="Q7" s="13">
        <f t="shared" si="3"/>
        <v>94293999</v>
      </c>
      <c r="R7" s="13">
        <f t="shared" si="0"/>
        <v>0.85</v>
      </c>
      <c r="S7" s="18">
        <v>5</v>
      </c>
      <c r="T7" s="1" t="s">
        <v>22</v>
      </c>
      <c r="U7" s="18">
        <v>133</v>
      </c>
      <c r="V7" s="2">
        <v>1159958800</v>
      </c>
      <c r="W7" s="2">
        <v>985964980</v>
      </c>
    </row>
    <row r="8" spans="1:35" x14ac:dyDescent="0.25">
      <c r="A8" s="6">
        <v>6</v>
      </c>
      <c r="B8" s="3" t="s">
        <v>9</v>
      </c>
      <c r="C8" s="106">
        <v>2362250000</v>
      </c>
      <c r="D8" s="106">
        <v>750000000</v>
      </c>
      <c r="E8" s="106"/>
      <c r="F8" s="106">
        <v>750000000</v>
      </c>
      <c r="G8" s="146"/>
      <c r="H8" s="106">
        <f t="shared" si="1"/>
        <v>150000000</v>
      </c>
      <c r="I8" s="9"/>
      <c r="J8" s="35">
        <v>6</v>
      </c>
      <c r="K8" s="3" t="s">
        <v>9</v>
      </c>
      <c r="L8" s="12">
        <v>10</v>
      </c>
      <c r="M8" s="13">
        <v>165000000</v>
      </c>
      <c r="N8" s="13">
        <v>125597895</v>
      </c>
      <c r="O8" s="13">
        <f>N8*20%</f>
        <v>25119579</v>
      </c>
      <c r="P8" s="13">
        <f t="shared" si="2"/>
        <v>624402105</v>
      </c>
      <c r="Q8" s="13">
        <f t="shared" si="3"/>
        <v>124880421</v>
      </c>
      <c r="R8" s="13">
        <f t="shared" si="0"/>
        <v>0.76119936363636365</v>
      </c>
      <c r="S8" s="18">
        <v>6</v>
      </c>
      <c r="T8" s="1" t="s">
        <v>23</v>
      </c>
      <c r="U8" s="18">
        <v>336</v>
      </c>
      <c r="V8" s="2">
        <v>2255948000</v>
      </c>
      <c r="W8" s="2">
        <v>1917555800</v>
      </c>
    </row>
    <row r="9" spans="1:35" x14ac:dyDescent="0.25">
      <c r="A9" s="6">
        <v>7</v>
      </c>
      <c r="B9" s="3" t="s">
        <v>130</v>
      </c>
      <c r="C9" s="106">
        <v>68000000000</v>
      </c>
      <c r="D9" s="106">
        <v>11250000000</v>
      </c>
      <c r="E9" s="106"/>
      <c r="F9" s="106">
        <v>11250000000</v>
      </c>
      <c r="G9" s="146"/>
      <c r="H9" s="106">
        <f t="shared" si="1"/>
        <v>2250000000</v>
      </c>
      <c r="I9" s="9"/>
      <c r="J9" s="6">
        <v>7</v>
      </c>
      <c r="K9" s="3" t="s">
        <v>130</v>
      </c>
      <c r="L9" s="12">
        <v>446</v>
      </c>
      <c r="M9" s="13">
        <v>6192057800</v>
      </c>
      <c r="N9" s="13">
        <v>5263249130</v>
      </c>
      <c r="O9" s="13">
        <f>N9*20%</f>
        <v>1052649826</v>
      </c>
      <c r="P9" s="13">
        <f t="shared" si="2"/>
        <v>5986750870</v>
      </c>
      <c r="Q9" s="13">
        <f t="shared" si="3"/>
        <v>1197350174</v>
      </c>
      <c r="R9" s="13">
        <f t="shared" ref="R9:R10" si="4">N9/M9</f>
        <v>0.85</v>
      </c>
      <c r="S9" s="18">
        <v>7</v>
      </c>
      <c r="T9" s="1" t="s">
        <v>24</v>
      </c>
      <c r="U9" s="18">
        <v>167</v>
      </c>
      <c r="V9" s="2">
        <v>1431794000</v>
      </c>
      <c r="W9" s="2">
        <v>1217024900</v>
      </c>
    </row>
    <row r="10" spans="1:35" x14ac:dyDescent="0.25">
      <c r="A10" s="248" t="s">
        <v>14</v>
      </c>
      <c r="B10" s="249"/>
      <c r="C10" s="212">
        <f>SUM(C3:C9)</f>
        <v>307130950000</v>
      </c>
      <c r="D10" s="98">
        <f>SUM(D3:D9)</f>
        <v>48375000000</v>
      </c>
      <c r="E10" s="98">
        <f>SUM(E3:E9)</f>
        <v>0</v>
      </c>
      <c r="F10" s="98">
        <f>SUM(F3:F9)</f>
        <v>48375000000</v>
      </c>
      <c r="G10" s="146"/>
      <c r="H10" s="98">
        <f>SUM(H3:H9)</f>
        <v>9675000000</v>
      </c>
      <c r="I10" s="9"/>
      <c r="J10" s="248" t="s">
        <v>18</v>
      </c>
      <c r="K10" s="249"/>
      <c r="L10" s="108">
        <f>SUM(L3:L9)</f>
        <v>3582</v>
      </c>
      <c r="M10" s="109">
        <f>SUM(M3:M9)</f>
        <v>30800085193</v>
      </c>
      <c r="N10" s="109">
        <f>SUM(N3:N9)</f>
        <v>26116014809</v>
      </c>
      <c r="O10" s="109">
        <f>SUM(O3:O9)</f>
        <v>5223202961.8000002</v>
      </c>
      <c r="P10" s="109">
        <f>F10-N10</f>
        <v>22258985191</v>
      </c>
      <c r="Q10" s="109">
        <f t="shared" si="3"/>
        <v>4451797038.1999998</v>
      </c>
      <c r="R10" s="13">
        <f t="shared" si="4"/>
        <v>0.84792021338095003</v>
      </c>
      <c r="S10" s="18">
        <v>8</v>
      </c>
      <c r="T10" s="1" t="s">
        <v>25</v>
      </c>
      <c r="U10" s="18">
        <v>162</v>
      </c>
      <c r="V10" s="2">
        <v>1509151000</v>
      </c>
      <c r="W10" s="2">
        <v>1282778350</v>
      </c>
    </row>
    <row r="11" spans="1:35" x14ac:dyDescent="0.25">
      <c r="G11" s="146"/>
      <c r="H11" s="146"/>
      <c r="I11" s="9"/>
      <c r="J11" s="9"/>
      <c r="M11" s="148" t="s">
        <v>83</v>
      </c>
      <c r="N11" s="148" t="s">
        <v>83</v>
      </c>
      <c r="O11" s="148"/>
      <c r="P11" s="148"/>
      <c r="Q11" s="148"/>
      <c r="R11" s="14"/>
      <c r="S11" s="18">
        <v>9</v>
      </c>
      <c r="T11" s="1" t="s">
        <v>26</v>
      </c>
      <c r="U11" s="18">
        <v>103</v>
      </c>
      <c r="V11" s="2">
        <v>1065302000</v>
      </c>
      <c r="W11" s="2">
        <v>905506700</v>
      </c>
    </row>
    <row r="12" spans="1:35" x14ac:dyDescent="0.25">
      <c r="B12" s="230"/>
      <c r="C12" s="146"/>
      <c r="D12" s="146"/>
      <c r="E12" s="146"/>
      <c r="F12" s="146"/>
      <c r="G12" s="146"/>
      <c r="H12" s="29"/>
      <c r="I12" s="9"/>
      <c r="J12" s="9"/>
      <c r="M12" s="148"/>
      <c r="N12" s="148"/>
      <c r="O12" s="148"/>
      <c r="P12" s="148"/>
      <c r="Q12" s="148"/>
      <c r="S12" s="18">
        <v>10</v>
      </c>
      <c r="T12" s="1" t="s">
        <v>27</v>
      </c>
      <c r="U12" s="18">
        <v>224</v>
      </c>
      <c r="V12" s="2">
        <v>1379988000</v>
      </c>
      <c r="W12" s="2">
        <v>1172989800</v>
      </c>
    </row>
    <row r="13" spans="1:35" x14ac:dyDescent="0.25">
      <c r="B13" s="230"/>
      <c r="C13" s="146"/>
      <c r="D13" s="146"/>
      <c r="E13" s="146"/>
      <c r="F13" s="146"/>
      <c r="G13" s="146"/>
      <c r="H13" s="29"/>
      <c r="I13" s="9"/>
      <c r="J13" s="9"/>
      <c r="M13" s="150" t="s">
        <v>83</v>
      </c>
      <c r="N13" s="150"/>
      <c r="O13" s="150"/>
      <c r="P13" s="150"/>
      <c r="Q13" s="150"/>
      <c r="S13" s="18">
        <v>11</v>
      </c>
      <c r="T13" s="1" t="s">
        <v>28</v>
      </c>
      <c r="U13" s="18">
        <v>337</v>
      </c>
      <c r="V13" s="2">
        <v>2904625000</v>
      </c>
      <c r="W13" s="2">
        <v>2468931250</v>
      </c>
    </row>
    <row r="14" spans="1:35" x14ac:dyDescent="0.25">
      <c r="G14" s="146"/>
      <c r="H14" s="29"/>
      <c r="I14" s="9"/>
      <c r="J14" s="9"/>
      <c r="K14" s="192" t="s">
        <v>83</v>
      </c>
      <c r="L14" s="29"/>
      <c r="M14" s="150"/>
      <c r="S14" s="18">
        <v>12</v>
      </c>
      <c r="T14" s="1" t="s">
        <v>29</v>
      </c>
      <c r="U14" s="18">
        <v>150</v>
      </c>
      <c r="V14" s="2">
        <v>1466930600</v>
      </c>
      <c r="W14" s="2">
        <v>1246891010</v>
      </c>
    </row>
    <row r="15" spans="1:35" x14ac:dyDescent="0.25">
      <c r="G15" s="146"/>
      <c r="H15" s="29"/>
      <c r="I15" s="9"/>
      <c r="J15" s="10"/>
      <c r="K15" s="192"/>
      <c r="M15" s="31" t="s">
        <v>83</v>
      </c>
      <c r="N15" s="150"/>
      <c r="O15" s="150"/>
      <c r="P15" s="150"/>
      <c r="Q15" s="150"/>
      <c r="S15" s="18">
        <v>13</v>
      </c>
      <c r="T15" s="1" t="s">
        <v>30</v>
      </c>
      <c r="U15" s="18">
        <v>75</v>
      </c>
      <c r="V15" s="2">
        <v>681876000</v>
      </c>
      <c r="W15" s="2">
        <v>579594600</v>
      </c>
    </row>
    <row r="16" spans="1:35" x14ac:dyDescent="0.25">
      <c r="G16" s="98"/>
      <c r="H16" s="29"/>
      <c r="I16" s="10"/>
      <c r="K16" s="192" t="s">
        <v>83</v>
      </c>
      <c r="L16" s="31" t="s">
        <v>83</v>
      </c>
      <c r="M16" s="150" t="s">
        <v>83</v>
      </c>
      <c r="N16" s="31" t="s">
        <v>83</v>
      </c>
      <c r="S16" s="18">
        <v>14</v>
      </c>
      <c r="T16" s="1" t="s">
        <v>31</v>
      </c>
      <c r="U16" s="18">
        <v>113</v>
      </c>
      <c r="V16" s="2">
        <v>886118000</v>
      </c>
      <c r="W16" s="2">
        <v>753200300</v>
      </c>
    </row>
    <row r="17" spans="1:27" x14ac:dyDescent="0.25">
      <c r="H17" s="29"/>
      <c r="K17" s="192"/>
      <c r="L17" s="31" t="s">
        <v>83</v>
      </c>
      <c r="M17" s="31" t="s">
        <v>83</v>
      </c>
      <c r="N17" s="31" t="s">
        <v>83</v>
      </c>
      <c r="S17" s="18">
        <v>15</v>
      </c>
      <c r="T17" s="3" t="s">
        <v>113</v>
      </c>
      <c r="U17" s="12">
        <v>23</v>
      </c>
      <c r="V17" s="36">
        <v>247656000</v>
      </c>
      <c r="W17" s="36">
        <v>210507600</v>
      </c>
    </row>
    <row r="18" spans="1:27" x14ac:dyDescent="0.25">
      <c r="C18" s="29" t="s">
        <v>83</v>
      </c>
      <c r="H18" s="29"/>
      <c r="K18" s="192"/>
      <c r="L18" s="31" t="s">
        <v>83</v>
      </c>
      <c r="M18" s="150" t="s">
        <v>83</v>
      </c>
      <c r="S18" s="18">
        <v>16</v>
      </c>
      <c r="T18" s="3" t="s">
        <v>110</v>
      </c>
      <c r="U18" s="12">
        <v>58</v>
      </c>
      <c r="V18" s="36">
        <v>474210000</v>
      </c>
      <c r="W18" s="36">
        <v>403078500</v>
      </c>
    </row>
    <row r="19" spans="1:27" x14ac:dyDescent="0.25">
      <c r="H19" s="29"/>
      <c r="K19" s="29" t="s">
        <v>83</v>
      </c>
      <c r="L19" s="31" t="s">
        <v>83</v>
      </c>
      <c r="M19" s="31" t="s">
        <v>83</v>
      </c>
      <c r="N19" s="31" t="s">
        <v>83</v>
      </c>
      <c r="S19" s="12">
        <v>17</v>
      </c>
      <c r="T19" s="3" t="s">
        <v>114</v>
      </c>
      <c r="U19" s="12">
        <v>94</v>
      </c>
      <c r="V19" s="36">
        <v>898543000</v>
      </c>
      <c r="W19" s="36">
        <v>763761550</v>
      </c>
    </row>
    <row r="20" spans="1:27" x14ac:dyDescent="0.25">
      <c r="E20" s="179"/>
      <c r="F20" s="179"/>
      <c r="H20" s="146"/>
      <c r="M20" s="150"/>
      <c r="N20" s="31" t="s">
        <v>83</v>
      </c>
      <c r="O20" s="31" t="s">
        <v>83</v>
      </c>
      <c r="S20" s="12">
        <v>18</v>
      </c>
      <c r="T20" s="3" t="s">
        <v>128</v>
      </c>
      <c r="U20" s="12">
        <v>430</v>
      </c>
      <c r="V20" s="36">
        <v>3859456000</v>
      </c>
      <c r="W20" s="36">
        <v>3267162600</v>
      </c>
    </row>
    <row r="21" spans="1:27" x14ac:dyDescent="0.25">
      <c r="E21" s="179"/>
      <c r="F21" s="179"/>
      <c r="H21" s="29"/>
      <c r="K21" s="29" t="s">
        <v>83</v>
      </c>
      <c r="M21" s="31" t="s">
        <v>83</v>
      </c>
      <c r="S21" s="12">
        <v>19</v>
      </c>
      <c r="T21" s="1" t="s">
        <v>33</v>
      </c>
      <c r="U21" s="18">
        <v>313</v>
      </c>
      <c r="V21" s="2">
        <v>3013687000</v>
      </c>
      <c r="W21" s="2">
        <v>2561633950</v>
      </c>
    </row>
    <row r="22" spans="1:27" x14ac:dyDescent="0.25">
      <c r="E22" s="179"/>
      <c r="F22" s="179"/>
      <c r="H22" s="29"/>
      <c r="K22" s="29" t="s">
        <v>83</v>
      </c>
      <c r="L22" s="31" t="s">
        <v>83</v>
      </c>
      <c r="M22" s="150" t="s">
        <v>83</v>
      </c>
      <c r="R22" s="30" t="s">
        <v>83</v>
      </c>
      <c r="S22" s="12">
        <v>20</v>
      </c>
      <c r="T22" s="1" t="s">
        <v>32</v>
      </c>
      <c r="U22" s="18">
        <v>261</v>
      </c>
      <c r="V22" s="2">
        <v>1811722000</v>
      </c>
      <c r="W22" s="2">
        <v>1528167200</v>
      </c>
    </row>
    <row r="23" spans="1:27" x14ac:dyDescent="0.25">
      <c r="H23" s="29"/>
      <c r="N23" s="31" t="s">
        <v>83</v>
      </c>
      <c r="O23" s="31" t="s">
        <v>83</v>
      </c>
      <c r="S23" s="110"/>
      <c r="T23" s="111" t="s">
        <v>18</v>
      </c>
      <c r="U23" s="112">
        <f>SUM(U3:U22)</f>
        <v>3582</v>
      </c>
      <c r="V23" s="113">
        <f>SUM(V3:V22)</f>
        <v>30800085193</v>
      </c>
      <c r="W23" s="113">
        <f>SUM(W3:W22)</f>
        <v>26116014809</v>
      </c>
    </row>
    <row r="24" spans="1:27" x14ac:dyDescent="0.25">
      <c r="H24" s="29"/>
      <c r="K24" s="34"/>
      <c r="M24" s="31" t="s">
        <v>83</v>
      </c>
      <c r="N24" s="31" t="s">
        <v>83</v>
      </c>
      <c r="S24" s="19"/>
      <c r="T24" s="30"/>
      <c r="V24" s="34"/>
      <c r="W24" s="34"/>
    </row>
    <row r="25" spans="1:27" x14ac:dyDescent="0.25">
      <c r="A25" s="29"/>
      <c r="D25" s="29"/>
      <c r="E25" s="180"/>
      <c r="F25" s="180"/>
      <c r="K25" s="29" t="s">
        <v>83</v>
      </c>
      <c r="L25" s="31" t="s">
        <v>83</v>
      </c>
      <c r="S25" s="19"/>
      <c r="T25" s="30"/>
    </row>
    <row r="26" spans="1:27" x14ac:dyDescent="0.25">
      <c r="A26" s="29"/>
      <c r="D26" s="29"/>
      <c r="E26" s="180"/>
      <c r="F26" s="180"/>
      <c r="S26" s="19" t="s">
        <v>83</v>
      </c>
      <c r="T26" s="29" t="s">
        <v>83</v>
      </c>
    </row>
    <row r="27" spans="1:27" x14ac:dyDescent="0.25">
      <c r="A27" s="29"/>
      <c r="D27" s="29"/>
      <c r="E27" s="29"/>
      <c r="F27" s="29"/>
      <c r="R27" s="30" t="s">
        <v>83</v>
      </c>
    </row>
    <row r="28" spans="1:27" x14ac:dyDescent="0.25">
      <c r="A28" s="29"/>
      <c r="D28" s="29"/>
      <c r="E28" s="29"/>
      <c r="F28" s="29"/>
      <c r="M28" s="31" t="s">
        <v>83</v>
      </c>
    </row>
    <row r="29" spans="1:27" x14ac:dyDescent="0.25">
      <c r="A29" s="29"/>
      <c r="D29" s="29"/>
      <c r="E29" s="29"/>
      <c r="F29" s="29"/>
      <c r="T29" s="29" t="s">
        <v>83</v>
      </c>
    </row>
    <row r="30" spans="1:27" x14ac:dyDescent="0.25">
      <c r="A30" s="29"/>
      <c r="D30" s="29"/>
      <c r="E30" s="29"/>
      <c r="F30" s="29"/>
      <c r="T30" s="29" t="s">
        <v>83</v>
      </c>
    </row>
    <row r="31" spans="1:27" x14ac:dyDescent="0.25">
      <c r="G31" s="29"/>
      <c r="H31" s="29"/>
      <c r="R31" s="30" t="s">
        <v>83</v>
      </c>
    </row>
    <row r="32" spans="1:27" x14ac:dyDescent="0.25">
      <c r="G32" s="29"/>
      <c r="H32" s="29"/>
      <c r="AA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J1:N1"/>
    <mergeCell ref="T1:W1"/>
    <mergeCell ref="A10:B10"/>
    <mergeCell ref="J10:K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J43"/>
  <sheetViews>
    <sheetView view="pageBreakPreview" topLeftCell="A7" zoomScale="90" zoomScaleNormal="80" zoomScaleSheetLayoutView="90" workbookViewId="0">
      <selection activeCell="L20" sqref="L20:N39"/>
    </sheetView>
  </sheetViews>
  <sheetFormatPr defaultColWidth="9.140625" defaultRowHeight="15" x14ac:dyDescent="0.25"/>
  <cols>
    <col min="1" max="1" width="3.85546875" style="33" customWidth="1"/>
    <col min="2" max="2" width="26.85546875" style="29" customWidth="1"/>
    <col min="3" max="3" width="8.42578125" style="31" customWidth="1"/>
    <col min="4" max="4" width="20.28515625" style="31" customWidth="1"/>
    <col min="5" max="5" width="21.42578125" style="31" customWidth="1"/>
    <col min="6" max="6" width="10.7109375" style="31" customWidth="1"/>
    <col min="7" max="14" width="21.28515625" style="31" customWidth="1"/>
    <col min="15" max="15" width="14.85546875" style="86" customWidth="1"/>
    <col min="16" max="16" width="23.85546875" style="31" customWidth="1"/>
    <col min="17" max="17" width="24.28515625" style="31" customWidth="1"/>
    <col min="18" max="18" width="6.5703125" style="30" customWidth="1"/>
    <col min="19" max="19" width="7.7109375" style="31" customWidth="1"/>
    <col min="20" max="20" width="5.7109375" style="29" customWidth="1"/>
    <col min="21" max="21" width="26.7109375" style="31" customWidth="1"/>
    <col min="22" max="22" width="22.42578125" style="29" customWidth="1"/>
    <col min="23" max="23" width="23.5703125" style="29" customWidth="1"/>
    <col min="24" max="24" width="18.28515625" style="29" customWidth="1"/>
    <col min="25" max="26" width="28.28515625" style="29" customWidth="1"/>
    <col min="27" max="27" width="23.85546875" style="34" customWidth="1"/>
    <col min="28" max="28" width="9.140625" style="29"/>
    <col min="29" max="29" width="20.7109375" style="29" customWidth="1"/>
    <col min="30" max="30" width="22.140625" style="29" customWidth="1"/>
    <col min="31" max="16384" width="9.140625" style="29"/>
  </cols>
  <sheetData>
    <row r="1" spans="1:36" s="28" customFormat="1" ht="69" customHeight="1" thickBot="1" x14ac:dyDescent="0.3">
      <c r="A1" s="17"/>
      <c r="B1" s="244" t="s">
        <v>48</v>
      </c>
      <c r="C1" s="244"/>
      <c r="D1" s="244"/>
      <c r="E1" s="244"/>
      <c r="F1" s="250" t="s">
        <v>88</v>
      </c>
      <c r="G1" s="250"/>
      <c r="H1" s="250"/>
      <c r="I1" s="250" t="s">
        <v>131</v>
      </c>
      <c r="J1" s="250"/>
      <c r="K1" s="250"/>
      <c r="L1" s="250" t="s">
        <v>146</v>
      </c>
      <c r="M1" s="250"/>
      <c r="N1" s="250"/>
      <c r="O1" s="40"/>
      <c r="P1" s="85"/>
      <c r="Q1" s="85"/>
      <c r="R1" s="26"/>
      <c r="AA1" s="92"/>
    </row>
    <row r="2" spans="1:36" s="27" customFormat="1" ht="56.25" customHeight="1" x14ac:dyDescent="0.25">
      <c r="A2" s="4" t="s">
        <v>0</v>
      </c>
      <c r="B2" s="4" t="s">
        <v>39</v>
      </c>
      <c r="C2" s="4" t="s">
        <v>16</v>
      </c>
      <c r="D2" s="5" t="s">
        <v>42</v>
      </c>
      <c r="E2" s="5" t="s">
        <v>43</v>
      </c>
      <c r="F2" s="93" t="s">
        <v>16</v>
      </c>
      <c r="G2" s="94" t="s">
        <v>42</v>
      </c>
      <c r="H2" s="95" t="s">
        <v>43</v>
      </c>
      <c r="I2" s="4" t="s">
        <v>16</v>
      </c>
      <c r="J2" s="5" t="s">
        <v>42</v>
      </c>
      <c r="K2" s="5" t="s">
        <v>43</v>
      </c>
      <c r="L2" s="93" t="s">
        <v>16</v>
      </c>
      <c r="M2" s="94" t="s">
        <v>42</v>
      </c>
      <c r="N2" s="94" t="s">
        <v>43</v>
      </c>
      <c r="O2" s="186" t="s">
        <v>18</v>
      </c>
      <c r="P2" s="114" t="s">
        <v>42</v>
      </c>
      <c r="Q2" s="97" t="s">
        <v>43</v>
      </c>
      <c r="R2" s="17"/>
      <c r="T2" s="93" t="s">
        <v>0</v>
      </c>
      <c r="U2" s="93" t="s">
        <v>1</v>
      </c>
      <c r="V2" s="94" t="s">
        <v>40</v>
      </c>
      <c r="W2" s="94" t="s">
        <v>46</v>
      </c>
      <c r="X2" s="95" t="s">
        <v>41</v>
      </c>
      <c r="Y2" s="96" t="s">
        <v>55</v>
      </c>
      <c r="Z2" s="96" t="s">
        <v>90</v>
      </c>
      <c r="AA2" s="97" t="s">
        <v>18</v>
      </c>
      <c r="AE2" s="28"/>
      <c r="AF2" s="28"/>
      <c r="AG2" s="28"/>
      <c r="AH2" s="28"/>
      <c r="AI2" s="28"/>
      <c r="AJ2" s="28"/>
    </row>
    <row r="3" spans="1:36" x14ac:dyDescent="0.25">
      <c r="A3" s="136">
        <v>1</v>
      </c>
      <c r="B3" s="137" t="s">
        <v>17</v>
      </c>
      <c r="C3" s="12">
        <v>1691</v>
      </c>
      <c r="D3" s="13">
        <v>7757461837</v>
      </c>
      <c r="E3" s="13">
        <v>6586515966.9499998</v>
      </c>
      <c r="F3" s="12">
        <v>5009</v>
      </c>
      <c r="G3" s="13">
        <v>22205064017.399998</v>
      </c>
      <c r="H3" s="13">
        <v>18859434163.800007</v>
      </c>
      <c r="I3" s="12">
        <v>7050</v>
      </c>
      <c r="J3" s="13">
        <v>51807502015</v>
      </c>
      <c r="K3" s="13">
        <v>44011492600.440002</v>
      </c>
      <c r="L3" s="239">
        <v>284</v>
      </c>
      <c r="M3" s="239">
        <v>3270616000</v>
      </c>
      <c r="N3" s="239">
        <v>2780023600</v>
      </c>
      <c r="O3" s="187">
        <f>C3+F3+I3+L3</f>
        <v>14034</v>
      </c>
      <c r="P3" s="87">
        <f>D3+G3+J3+M3</f>
        <v>85040643869.399994</v>
      </c>
      <c r="Q3" s="88">
        <f>E3+H3+K3+N3</f>
        <v>72237466331.190002</v>
      </c>
      <c r="R3" s="14"/>
      <c r="T3" s="6">
        <v>1</v>
      </c>
      <c r="U3" s="25" t="s">
        <v>2</v>
      </c>
      <c r="V3" s="106">
        <v>276917248.54000002</v>
      </c>
      <c r="W3" s="106"/>
      <c r="X3" s="107">
        <f>V3</f>
        <v>276917248.54000002</v>
      </c>
      <c r="Y3" s="103">
        <v>140000000</v>
      </c>
      <c r="Z3" s="183"/>
      <c r="AA3" s="105">
        <f>X3+Y3+Z3</f>
        <v>416917248.54000002</v>
      </c>
    </row>
    <row r="4" spans="1:36" x14ac:dyDescent="0.25">
      <c r="A4" s="136">
        <v>2</v>
      </c>
      <c r="B4" s="137" t="s">
        <v>10</v>
      </c>
      <c r="C4" s="12">
        <v>1060</v>
      </c>
      <c r="D4" s="13">
        <v>7407061598</v>
      </c>
      <c r="E4" s="13">
        <v>6290863268.3000002</v>
      </c>
      <c r="F4" s="12">
        <v>4363</v>
      </c>
      <c r="G4" s="13">
        <v>28307435253</v>
      </c>
      <c r="H4" s="13">
        <v>24076174165.049999</v>
      </c>
      <c r="I4" s="12"/>
      <c r="J4" s="13"/>
      <c r="K4" s="13"/>
      <c r="L4" s="239"/>
      <c r="M4" s="239"/>
      <c r="N4" s="239"/>
      <c r="O4" s="187">
        <f t="shared" ref="O4:O14" si="0">C4+F4+I4+L4</f>
        <v>5423</v>
      </c>
      <c r="P4" s="87">
        <f t="shared" ref="P4:P14" si="1">D4+G4+J4+M4</f>
        <v>35714496851</v>
      </c>
      <c r="Q4" s="88">
        <f t="shared" ref="Q4:Q14" si="2">E4+H4+K4</f>
        <v>30367037433.349998</v>
      </c>
      <c r="R4" s="14"/>
      <c r="T4" s="6">
        <v>2</v>
      </c>
      <c r="U4" s="25" t="s">
        <v>36</v>
      </c>
      <c r="V4" s="106">
        <v>395965726.98000002</v>
      </c>
      <c r="W4" s="106"/>
      <c r="X4" s="107">
        <f>V4</f>
        <v>395965726.98000002</v>
      </c>
      <c r="Y4" s="103">
        <v>587050000</v>
      </c>
      <c r="Z4" s="183">
        <v>2500000000</v>
      </c>
      <c r="AA4" s="105">
        <f t="shared" ref="AA4:AA15" si="3">X4+Y4+Z4</f>
        <v>3483015726.98</v>
      </c>
    </row>
    <row r="5" spans="1:36" x14ac:dyDescent="0.25">
      <c r="A5" s="136">
        <v>3</v>
      </c>
      <c r="B5" s="137" t="s">
        <v>5</v>
      </c>
      <c r="C5" s="12">
        <v>559</v>
      </c>
      <c r="D5" s="13">
        <v>2377019249</v>
      </c>
      <c r="E5" s="13">
        <v>2019463361.4000001</v>
      </c>
      <c r="F5" s="12">
        <v>2974</v>
      </c>
      <c r="G5" s="13">
        <v>14388977649</v>
      </c>
      <c r="H5" s="13">
        <v>12172966928.07</v>
      </c>
      <c r="I5" s="12">
        <v>9155</v>
      </c>
      <c r="J5" s="13">
        <v>59025328843</v>
      </c>
      <c r="K5" s="13">
        <v>49663238837.699997</v>
      </c>
      <c r="L5" s="239">
        <v>2591</v>
      </c>
      <c r="M5" s="239">
        <v>18091468000</v>
      </c>
      <c r="N5" s="239">
        <v>15377747800</v>
      </c>
      <c r="O5" s="187">
        <f t="shared" si="0"/>
        <v>15279</v>
      </c>
      <c r="P5" s="87">
        <f t="shared" si="1"/>
        <v>93882793741</v>
      </c>
      <c r="Q5" s="88">
        <f t="shared" si="2"/>
        <v>63855669127.169998</v>
      </c>
      <c r="R5" s="14"/>
      <c r="T5" s="6">
        <v>3</v>
      </c>
      <c r="U5" s="25" t="s">
        <v>3</v>
      </c>
      <c r="V5" s="106">
        <f>478568305.92</f>
        <v>478568305.92000002</v>
      </c>
      <c r="W5" s="106">
        <f>500000000+200000000</f>
        <v>700000000</v>
      </c>
      <c r="X5" s="107">
        <f>V5+W5</f>
        <v>1178568305.9200001</v>
      </c>
      <c r="Y5" s="103">
        <v>2500000000</v>
      </c>
      <c r="Z5" s="183"/>
      <c r="AA5" s="105">
        <f t="shared" si="3"/>
        <v>3678568305.9200001</v>
      </c>
    </row>
    <row r="6" spans="1:36" x14ac:dyDescent="0.25">
      <c r="A6" s="136">
        <v>4</v>
      </c>
      <c r="B6" s="137" t="s">
        <v>3</v>
      </c>
      <c r="C6" s="12">
        <v>290</v>
      </c>
      <c r="D6" s="13">
        <v>1403699197</v>
      </c>
      <c r="E6" s="13">
        <v>1191443417.6399999</v>
      </c>
      <c r="F6" s="12">
        <v>298</v>
      </c>
      <c r="G6" s="13">
        <v>2124897290</v>
      </c>
      <c r="H6" s="13">
        <v>1806162696.5</v>
      </c>
      <c r="I6" s="12"/>
      <c r="J6" s="13"/>
      <c r="K6" s="13"/>
      <c r="L6" s="239"/>
      <c r="M6" s="239"/>
      <c r="N6" s="239"/>
      <c r="O6" s="187">
        <f t="shared" si="0"/>
        <v>588</v>
      </c>
      <c r="P6" s="87">
        <f t="shared" si="1"/>
        <v>3528596487</v>
      </c>
      <c r="Q6" s="88">
        <f t="shared" si="2"/>
        <v>2997606114.1399999</v>
      </c>
      <c r="R6" s="14"/>
      <c r="T6" s="6">
        <v>4</v>
      </c>
      <c r="U6" s="25" t="s">
        <v>4</v>
      </c>
      <c r="V6" s="106">
        <v>184571152.56</v>
      </c>
      <c r="W6" s="106"/>
      <c r="X6" s="107">
        <f>V6</f>
        <v>184571152.56</v>
      </c>
      <c r="Y6" s="103">
        <v>500000000</v>
      </c>
      <c r="Z6" s="183"/>
      <c r="AA6" s="105">
        <f t="shared" si="3"/>
        <v>684571152.55999994</v>
      </c>
    </row>
    <row r="7" spans="1:36" x14ac:dyDescent="0.25">
      <c r="A7" s="136">
        <v>5</v>
      </c>
      <c r="B7" s="137" t="s">
        <v>37</v>
      </c>
      <c r="C7" s="12">
        <v>66</v>
      </c>
      <c r="D7" s="13">
        <v>723600000</v>
      </c>
      <c r="E7" s="13">
        <v>615060000</v>
      </c>
      <c r="F7" s="12">
        <v>346</v>
      </c>
      <c r="G7" s="13">
        <v>4513685532.46</v>
      </c>
      <c r="H7" s="13">
        <v>3795396915.29</v>
      </c>
      <c r="I7" s="12">
        <v>874</v>
      </c>
      <c r="J7" s="13">
        <v>12526856694</v>
      </c>
      <c r="K7" s="13">
        <v>10068101988.9</v>
      </c>
      <c r="L7" s="239">
        <v>166</v>
      </c>
      <c r="M7" s="239">
        <v>1870908093</v>
      </c>
      <c r="N7" s="239">
        <v>1540866379</v>
      </c>
      <c r="O7" s="187">
        <f t="shared" si="0"/>
        <v>1452</v>
      </c>
      <c r="P7" s="87">
        <f t="shared" si="1"/>
        <v>19635050319.459999</v>
      </c>
      <c r="Q7" s="88">
        <f t="shared" si="2"/>
        <v>14478558904.189999</v>
      </c>
      <c r="R7" s="14"/>
      <c r="T7" s="6">
        <v>5</v>
      </c>
      <c r="U7" s="25" t="s">
        <v>5</v>
      </c>
      <c r="V7" s="106">
        <v>660798611.88999999</v>
      </c>
      <c r="W7" s="106">
        <f>2000000000-V7</f>
        <v>1339201388.1100001</v>
      </c>
      <c r="X7" s="107">
        <f>V7+W7</f>
        <v>2000000000</v>
      </c>
      <c r="Y7" s="103">
        <v>10916350000</v>
      </c>
      <c r="Z7" s="183">
        <v>20000000000</v>
      </c>
      <c r="AA7" s="105">
        <f t="shared" si="3"/>
        <v>32916350000</v>
      </c>
    </row>
    <row r="8" spans="1:36" x14ac:dyDescent="0.25">
      <c r="A8" s="136">
        <v>6</v>
      </c>
      <c r="B8" s="137" t="s">
        <v>47</v>
      </c>
      <c r="C8" s="12">
        <v>28</v>
      </c>
      <c r="D8" s="13">
        <v>233200000</v>
      </c>
      <c r="E8" s="13">
        <v>198220000</v>
      </c>
      <c r="F8" s="12">
        <v>84</v>
      </c>
      <c r="G8" s="13">
        <v>710250000</v>
      </c>
      <c r="H8" s="13">
        <v>522736066</v>
      </c>
      <c r="I8" s="12">
        <v>269</v>
      </c>
      <c r="J8" s="13">
        <v>3457051000</v>
      </c>
      <c r="K8" s="13">
        <v>2908333200</v>
      </c>
      <c r="L8" s="239"/>
      <c r="M8" s="239"/>
      <c r="N8" s="239"/>
      <c r="O8" s="187">
        <f t="shared" si="0"/>
        <v>381</v>
      </c>
      <c r="P8" s="87">
        <f t="shared" si="1"/>
        <v>4400501000</v>
      </c>
      <c r="Q8" s="88">
        <f t="shared" si="2"/>
        <v>3629289266</v>
      </c>
      <c r="R8" s="14"/>
      <c r="T8" s="6">
        <v>6</v>
      </c>
      <c r="U8" s="25" t="s">
        <v>6</v>
      </c>
      <c r="V8" s="106">
        <v>102157644.04000001</v>
      </c>
      <c r="W8" s="106"/>
      <c r="X8" s="107">
        <f>V8</f>
        <v>102157644.04000001</v>
      </c>
      <c r="Y8" s="103">
        <v>236000000</v>
      </c>
      <c r="Z8" s="183"/>
      <c r="AA8" s="105">
        <f t="shared" si="3"/>
        <v>338157644.04000002</v>
      </c>
    </row>
    <row r="9" spans="1:36" x14ac:dyDescent="0.25">
      <c r="A9" s="136">
        <v>7</v>
      </c>
      <c r="B9" s="137" t="s">
        <v>7</v>
      </c>
      <c r="C9" s="12">
        <v>18</v>
      </c>
      <c r="D9" s="13">
        <v>133306062</v>
      </c>
      <c r="E9" s="13">
        <v>113310152.7</v>
      </c>
      <c r="F9" s="12">
        <v>242</v>
      </c>
      <c r="G9" s="13">
        <v>2011669580</v>
      </c>
      <c r="H9" s="13">
        <v>1700765943</v>
      </c>
      <c r="I9" s="12">
        <v>240</v>
      </c>
      <c r="J9" s="13">
        <v>1770427841</v>
      </c>
      <c r="K9" s="13">
        <v>1504863665.25</v>
      </c>
      <c r="L9" s="239">
        <v>85</v>
      </c>
      <c r="M9" s="239">
        <v>1210035300</v>
      </c>
      <c r="N9" s="239">
        <v>1028530005</v>
      </c>
      <c r="O9" s="187">
        <v>4420000</v>
      </c>
      <c r="P9" s="87">
        <f t="shared" si="1"/>
        <v>5125438783</v>
      </c>
      <c r="Q9" s="88">
        <f t="shared" si="2"/>
        <v>3318939760.9499998</v>
      </c>
      <c r="R9" s="14"/>
      <c r="T9" s="6">
        <v>7</v>
      </c>
      <c r="U9" s="25" t="s">
        <v>7</v>
      </c>
      <c r="V9" s="106">
        <v>174391095.78</v>
      </c>
      <c r="W9" s="106">
        <f>325000000-V9</f>
        <v>150608904.22</v>
      </c>
      <c r="X9" s="107">
        <f>V9+W9</f>
        <v>325000000</v>
      </c>
      <c r="Y9" s="103">
        <v>2000000000</v>
      </c>
      <c r="Z9" s="183">
        <v>2500000000</v>
      </c>
      <c r="AA9" s="105">
        <f t="shared" si="3"/>
        <v>4825000000</v>
      </c>
    </row>
    <row r="10" spans="1:36" x14ac:dyDescent="0.25">
      <c r="A10" s="136">
        <v>8</v>
      </c>
      <c r="B10" s="137" t="s">
        <v>4</v>
      </c>
      <c r="C10" s="12">
        <v>17</v>
      </c>
      <c r="D10" s="13">
        <v>83500000</v>
      </c>
      <c r="E10" s="13">
        <v>70975000</v>
      </c>
      <c r="F10" s="12">
        <v>8</v>
      </c>
      <c r="G10" s="13">
        <v>109056073</v>
      </c>
      <c r="H10" s="13">
        <v>92697662.049999997</v>
      </c>
      <c r="I10" s="12"/>
      <c r="J10" s="13"/>
      <c r="K10" s="13"/>
      <c r="L10" s="239"/>
      <c r="M10" s="239"/>
      <c r="N10" s="239"/>
      <c r="O10" s="187">
        <f t="shared" si="0"/>
        <v>25</v>
      </c>
      <c r="P10" s="87">
        <f t="shared" si="1"/>
        <v>192556073</v>
      </c>
      <c r="Q10" s="88">
        <f t="shared" si="2"/>
        <v>163672662.05000001</v>
      </c>
      <c r="R10" s="14"/>
      <c r="T10" s="6">
        <v>8</v>
      </c>
      <c r="U10" s="25" t="s">
        <v>8</v>
      </c>
      <c r="V10" s="106">
        <v>1175773243.3299999</v>
      </c>
      <c r="W10" s="106">
        <f>3800000000+2500000000</f>
        <v>6300000000</v>
      </c>
      <c r="X10" s="107">
        <f>V10+W10</f>
        <v>7475773243.3299999</v>
      </c>
      <c r="Y10" s="103">
        <v>18913300000</v>
      </c>
      <c r="Z10" s="183">
        <v>40000000000</v>
      </c>
      <c r="AA10" s="105">
        <f t="shared" si="3"/>
        <v>66389073243.330002</v>
      </c>
    </row>
    <row r="11" spans="1:36" x14ac:dyDescent="0.25">
      <c r="A11" s="136">
        <v>9</v>
      </c>
      <c r="B11" s="137" t="s">
        <v>9</v>
      </c>
      <c r="C11" s="12">
        <v>10</v>
      </c>
      <c r="D11" s="13">
        <v>73960500</v>
      </c>
      <c r="E11" s="13">
        <v>62866425</v>
      </c>
      <c r="F11" s="12">
        <v>50</v>
      </c>
      <c r="G11" s="13">
        <v>460550000</v>
      </c>
      <c r="H11" s="13">
        <v>367977700</v>
      </c>
      <c r="I11" s="12">
        <v>65</v>
      </c>
      <c r="J11" s="13">
        <v>912924400</v>
      </c>
      <c r="K11" s="13">
        <v>672591077</v>
      </c>
      <c r="L11" s="239">
        <v>10</v>
      </c>
      <c r="M11" s="239">
        <v>165000000</v>
      </c>
      <c r="N11" s="239">
        <v>125597895</v>
      </c>
      <c r="O11" s="187">
        <f t="shared" si="0"/>
        <v>135</v>
      </c>
      <c r="P11" s="87">
        <f t="shared" si="1"/>
        <v>1612434900</v>
      </c>
      <c r="Q11" s="88">
        <f t="shared" si="2"/>
        <v>1103435202</v>
      </c>
      <c r="R11" s="14"/>
      <c r="T11" s="6">
        <v>9</v>
      </c>
      <c r="U11" s="25" t="s">
        <v>9</v>
      </c>
      <c r="V11" s="106">
        <v>404131576.57999998</v>
      </c>
      <c r="W11" s="106"/>
      <c r="X11" s="107">
        <f>V11</f>
        <v>404131576.57999998</v>
      </c>
      <c r="Y11" s="103">
        <v>521815000</v>
      </c>
      <c r="Z11" s="183">
        <v>1500000000</v>
      </c>
      <c r="AA11" s="105">
        <f t="shared" si="3"/>
        <v>2425946576.5799999</v>
      </c>
    </row>
    <row r="12" spans="1:36" x14ac:dyDescent="0.25">
      <c r="A12" s="136">
        <v>10</v>
      </c>
      <c r="B12" s="137" t="s">
        <v>38</v>
      </c>
      <c r="C12" s="12">
        <v>9</v>
      </c>
      <c r="D12" s="13">
        <v>136000000</v>
      </c>
      <c r="E12" s="13">
        <v>115600000</v>
      </c>
      <c r="F12" s="12">
        <v>2</v>
      </c>
      <c r="G12" s="13">
        <v>35000000</v>
      </c>
      <c r="H12" s="13">
        <v>29750000</v>
      </c>
      <c r="I12" s="12"/>
      <c r="J12" s="13"/>
      <c r="K12" s="13"/>
      <c r="L12" s="239"/>
      <c r="M12" s="239"/>
      <c r="N12" s="239"/>
      <c r="O12" s="187">
        <f t="shared" si="0"/>
        <v>11</v>
      </c>
      <c r="P12" s="87">
        <f t="shared" si="1"/>
        <v>171000000</v>
      </c>
      <c r="Q12" s="88">
        <f t="shared" si="2"/>
        <v>145350000</v>
      </c>
      <c r="T12" s="6">
        <v>10</v>
      </c>
      <c r="U12" s="25" t="s">
        <v>10</v>
      </c>
      <c r="V12" s="106">
        <v>1284610107.5599999</v>
      </c>
      <c r="W12" s="106">
        <f>6500000000-V12</f>
        <v>5215389892.4400005</v>
      </c>
      <c r="X12" s="107">
        <f>V12+W12</f>
        <v>6500000000</v>
      </c>
      <c r="Y12" s="103">
        <v>20820000000</v>
      </c>
      <c r="Z12" s="183"/>
      <c r="AA12" s="105">
        <f t="shared" si="3"/>
        <v>27320000000</v>
      </c>
    </row>
    <row r="13" spans="1:36" x14ac:dyDescent="0.25">
      <c r="A13" s="136">
        <v>11</v>
      </c>
      <c r="B13" s="137" t="s">
        <v>6</v>
      </c>
      <c r="C13" s="12">
        <v>1</v>
      </c>
      <c r="D13" s="13">
        <v>5000000</v>
      </c>
      <c r="E13" s="13">
        <v>4250000</v>
      </c>
      <c r="F13" s="12">
        <v>21</v>
      </c>
      <c r="G13" s="13">
        <v>273119700</v>
      </c>
      <c r="H13" s="13">
        <v>226100000</v>
      </c>
      <c r="I13" s="13"/>
      <c r="J13" s="13"/>
      <c r="K13" s="13"/>
      <c r="L13" s="239"/>
      <c r="M13" s="239"/>
      <c r="N13" s="239"/>
      <c r="O13" s="187">
        <f t="shared" si="0"/>
        <v>22</v>
      </c>
      <c r="P13" s="87">
        <f t="shared" si="1"/>
        <v>278119700</v>
      </c>
      <c r="Q13" s="88">
        <f t="shared" si="2"/>
        <v>230350000</v>
      </c>
      <c r="T13" s="6">
        <v>11</v>
      </c>
      <c r="U13" s="25" t="s">
        <v>11</v>
      </c>
      <c r="V13" s="106">
        <v>440324153.75</v>
      </c>
      <c r="W13" s="106">
        <v>500000000</v>
      </c>
      <c r="X13" s="107">
        <f>V13+W13</f>
        <v>940324153.75</v>
      </c>
      <c r="Y13" s="103">
        <v>3924875000</v>
      </c>
      <c r="Z13" s="183">
        <v>8845000000</v>
      </c>
      <c r="AA13" s="105">
        <f t="shared" si="3"/>
        <v>13710199153.75</v>
      </c>
    </row>
    <row r="14" spans="1:36" x14ac:dyDescent="0.25">
      <c r="A14" s="136">
        <v>12</v>
      </c>
      <c r="B14" s="137" t="s">
        <v>130</v>
      </c>
      <c r="C14" s="12"/>
      <c r="D14" s="13"/>
      <c r="E14" s="13"/>
      <c r="F14" s="12"/>
      <c r="G14" s="13"/>
      <c r="H14" s="13"/>
      <c r="I14" s="12">
        <v>5</v>
      </c>
      <c r="J14" s="13">
        <v>85000000</v>
      </c>
      <c r="K14" s="13">
        <v>72250000</v>
      </c>
      <c r="L14" s="239">
        <v>446</v>
      </c>
      <c r="M14" s="239">
        <v>6192057800</v>
      </c>
      <c r="N14" s="239">
        <v>5263249130</v>
      </c>
      <c r="O14" s="187">
        <f t="shared" si="0"/>
        <v>451</v>
      </c>
      <c r="P14" s="87">
        <f t="shared" si="1"/>
        <v>6277057800</v>
      </c>
      <c r="Q14" s="88">
        <f t="shared" si="2"/>
        <v>72250000</v>
      </c>
      <c r="T14" s="6">
        <v>12</v>
      </c>
      <c r="U14" s="25" t="s">
        <v>12</v>
      </c>
      <c r="V14" s="106">
        <v>102157644.04000001</v>
      </c>
      <c r="W14" s="106"/>
      <c r="X14" s="107">
        <f>V14</f>
        <v>102157644.04000001</v>
      </c>
      <c r="Y14" s="104">
        <v>0</v>
      </c>
      <c r="Z14" s="184"/>
      <c r="AA14" s="105">
        <f t="shared" si="3"/>
        <v>102157644.04000001</v>
      </c>
    </row>
    <row r="15" spans="1:36" ht="15.75" thickBot="1" x14ac:dyDescent="0.3">
      <c r="A15" s="245" t="s">
        <v>18</v>
      </c>
      <c r="B15" s="246"/>
      <c r="C15" s="16">
        <f t="shared" ref="C15:K15" si="4">SUM(C3:C14)</f>
        <v>3749</v>
      </c>
      <c r="D15" s="20">
        <f t="shared" si="4"/>
        <v>20333808443</v>
      </c>
      <c r="E15" s="20">
        <f t="shared" si="4"/>
        <v>17268567591.989998</v>
      </c>
      <c r="F15" s="115">
        <f t="shared" si="4"/>
        <v>13397</v>
      </c>
      <c r="G15" s="109">
        <f t="shared" si="4"/>
        <v>75139705094.860001</v>
      </c>
      <c r="H15" s="116">
        <f t="shared" si="4"/>
        <v>63650162239.76001</v>
      </c>
      <c r="I15" s="115">
        <f t="shared" si="4"/>
        <v>17658</v>
      </c>
      <c r="J15" s="115">
        <f t="shared" si="4"/>
        <v>129585090793</v>
      </c>
      <c r="K15" s="115">
        <f t="shared" si="4"/>
        <v>108900871369.28999</v>
      </c>
      <c r="L15" s="115">
        <f t="shared" ref="L15:M15" si="5">SUM(L3:L14)</f>
        <v>3582</v>
      </c>
      <c r="M15" s="115">
        <f t="shared" si="5"/>
        <v>30800085193</v>
      </c>
      <c r="N15" s="115">
        <f>SUM(N3:N14)</f>
        <v>26116014809</v>
      </c>
      <c r="O15" s="188">
        <f>SUM(O3:O14)</f>
        <v>4457801</v>
      </c>
      <c r="P15" s="117">
        <f t="shared" ref="P15:Q15" si="6">SUM(P3:P14)</f>
        <v>255858689523.85999</v>
      </c>
      <c r="Q15" s="118">
        <f t="shared" si="6"/>
        <v>192599624801.04004</v>
      </c>
      <c r="T15" s="6">
        <v>13</v>
      </c>
      <c r="U15" s="3" t="s">
        <v>13</v>
      </c>
      <c r="V15" s="106">
        <v>102157644.04000001</v>
      </c>
      <c r="W15" s="106">
        <f>60000000</f>
        <v>60000000</v>
      </c>
      <c r="X15" s="107">
        <f>V15+W15</f>
        <v>162157644.04000002</v>
      </c>
      <c r="Y15" s="103">
        <v>250000000</v>
      </c>
      <c r="Z15" s="183"/>
      <c r="AA15" s="105">
        <f t="shared" si="3"/>
        <v>412157644.04000002</v>
      </c>
    </row>
    <row r="16" spans="1:36" ht="15.75" thickBot="1" x14ac:dyDescent="0.3">
      <c r="A16" s="9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P16" s="32"/>
      <c r="Q16" s="32"/>
      <c r="T16" s="248" t="s">
        <v>14</v>
      </c>
      <c r="U16" s="249"/>
      <c r="V16" s="98">
        <f t="shared" ref="V16:AA16" si="7">SUM(V3:V15)</f>
        <v>5782524155.0100002</v>
      </c>
      <c r="W16" s="98">
        <f t="shared" si="7"/>
        <v>14265200184.77</v>
      </c>
      <c r="X16" s="99">
        <f t="shared" si="7"/>
        <v>20047724339.779999</v>
      </c>
      <c r="Y16" s="100">
        <f t="shared" si="7"/>
        <v>61309390000</v>
      </c>
      <c r="Z16" s="185">
        <f>SUM(Z3:Z15)</f>
        <v>75345000000</v>
      </c>
      <c r="AA16" s="101">
        <f t="shared" si="7"/>
        <v>156702114339.78003</v>
      </c>
    </row>
    <row r="17" spans="1:26" ht="53.25" customHeight="1" x14ac:dyDescent="0.25">
      <c r="A17" s="9"/>
      <c r="C17" s="29"/>
      <c r="E17" s="31" t="s">
        <v>83</v>
      </c>
      <c r="I17" s="150"/>
      <c r="W17" s="102"/>
    </row>
    <row r="18" spans="1:26" ht="15.75" thickBot="1" x14ac:dyDescent="0.3">
      <c r="A18" s="27"/>
      <c r="B18" s="247" t="s">
        <v>59</v>
      </c>
      <c r="C18" s="247"/>
      <c r="D18" s="247"/>
      <c r="E18" s="247"/>
      <c r="F18" s="247" t="s">
        <v>60</v>
      </c>
      <c r="G18" s="247"/>
      <c r="H18" s="247"/>
      <c r="I18" s="247" t="s">
        <v>91</v>
      </c>
      <c r="J18" s="247"/>
      <c r="K18" s="247"/>
      <c r="L18" s="247" t="s">
        <v>137</v>
      </c>
      <c r="M18" s="247"/>
      <c r="N18" s="247"/>
      <c r="O18" s="28"/>
      <c r="P18" s="28"/>
      <c r="Q18" s="28"/>
    </row>
    <row r="19" spans="1:26" ht="28.5" x14ac:dyDescent="0.25">
      <c r="A19" s="4" t="s">
        <v>0</v>
      </c>
      <c r="B19" s="4" t="s">
        <v>45</v>
      </c>
      <c r="C19" s="4" t="s">
        <v>16</v>
      </c>
      <c r="D19" s="5" t="s">
        <v>42</v>
      </c>
      <c r="E19" s="5" t="s">
        <v>43</v>
      </c>
      <c r="F19" s="94" t="s">
        <v>16</v>
      </c>
      <c r="G19" s="94" t="s">
        <v>42</v>
      </c>
      <c r="H19" s="95" t="s">
        <v>43</v>
      </c>
      <c r="I19" s="158" t="s">
        <v>16</v>
      </c>
      <c r="J19" s="158" t="s">
        <v>42</v>
      </c>
      <c r="K19" s="191" t="s">
        <v>43</v>
      </c>
      <c r="L19" s="94" t="s">
        <v>16</v>
      </c>
      <c r="M19" s="94" t="s">
        <v>42</v>
      </c>
      <c r="N19" s="94" t="s">
        <v>43</v>
      </c>
      <c r="O19" s="186" t="s">
        <v>18</v>
      </c>
      <c r="P19" s="114" t="s">
        <v>42</v>
      </c>
      <c r="Q19" s="97" t="s">
        <v>43</v>
      </c>
      <c r="S19" s="19"/>
      <c r="T19" s="30"/>
    </row>
    <row r="20" spans="1:26" x14ac:dyDescent="0.25">
      <c r="A20" s="21">
        <v>1</v>
      </c>
      <c r="B20" s="137" t="s">
        <v>44</v>
      </c>
      <c r="C20" s="18">
        <v>153</v>
      </c>
      <c r="D20" s="15">
        <v>970121686</v>
      </c>
      <c r="E20" s="15">
        <v>824603433.10000002</v>
      </c>
      <c r="F20" s="18">
        <v>334</v>
      </c>
      <c r="G20" s="15">
        <v>2795940001</v>
      </c>
      <c r="H20" s="15">
        <v>2359323650.8499999</v>
      </c>
      <c r="I20" s="18">
        <v>482</v>
      </c>
      <c r="J20" s="15">
        <v>4501017503</v>
      </c>
      <c r="K20" s="15">
        <v>3767853149.9000001</v>
      </c>
      <c r="L20" s="240">
        <v>91</v>
      </c>
      <c r="M20" s="240">
        <v>1058366793</v>
      </c>
      <c r="N20" s="240">
        <v>860725669</v>
      </c>
      <c r="O20" s="189">
        <f>C20+F20+I20+L20</f>
        <v>1060</v>
      </c>
      <c r="P20" s="90">
        <f>D20+G20+J20+M20</f>
        <v>9325445983</v>
      </c>
      <c r="Q20" s="91">
        <f>E20+H20+K20+N20</f>
        <v>7812505902.8500004</v>
      </c>
      <c r="S20" s="19"/>
      <c r="T20" s="30"/>
    </row>
    <row r="21" spans="1:26" x14ac:dyDescent="0.25">
      <c r="A21" s="21">
        <v>2</v>
      </c>
      <c r="B21" s="137" t="s">
        <v>19</v>
      </c>
      <c r="C21" s="18">
        <v>329</v>
      </c>
      <c r="D21" s="15">
        <v>1957857298</v>
      </c>
      <c r="E21" s="2">
        <v>1659298861.8999999</v>
      </c>
      <c r="F21" s="18">
        <v>1620</v>
      </c>
      <c r="G21" s="15">
        <v>8995871043</v>
      </c>
      <c r="H21" s="2">
        <v>7592713098.2999983</v>
      </c>
      <c r="I21" s="18">
        <v>1804</v>
      </c>
      <c r="J21" s="15">
        <v>12558919509</v>
      </c>
      <c r="K21" s="2">
        <v>10421667470</v>
      </c>
      <c r="L21" s="241">
        <v>244</v>
      </c>
      <c r="M21" s="241">
        <v>2002315000</v>
      </c>
      <c r="N21" s="241">
        <v>1701967750</v>
      </c>
      <c r="O21" s="189">
        <f t="shared" ref="O21:O39" si="8">C21+F21+I21+L21</f>
        <v>3997</v>
      </c>
      <c r="P21" s="90">
        <f t="shared" ref="P21:P39" si="9">D21+G21+J21+M21</f>
        <v>25514962850</v>
      </c>
      <c r="Q21" s="91">
        <f t="shared" ref="Q21:Q39" si="10">E21+H21+K21+N21</f>
        <v>21375647180.199997</v>
      </c>
      <c r="S21" s="19"/>
      <c r="T21" s="30"/>
      <c r="Y21" s="89"/>
      <c r="Z21" s="89"/>
    </row>
    <row r="22" spans="1:26" x14ac:dyDescent="0.25">
      <c r="A22" s="21">
        <v>3</v>
      </c>
      <c r="B22" s="137" t="s">
        <v>20</v>
      </c>
      <c r="C22" s="18">
        <v>138</v>
      </c>
      <c r="D22" s="2">
        <v>779795628</v>
      </c>
      <c r="E22" s="2">
        <v>662826286</v>
      </c>
      <c r="F22" s="18">
        <v>807</v>
      </c>
      <c r="G22" s="2">
        <v>4492749537</v>
      </c>
      <c r="H22" s="2">
        <v>3811462016.5599999</v>
      </c>
      <c r="I22" s="18">
        <v>616</v>
      </c>
      <c r="J22" s="2">
        <v>4705825820</v>
      </c>
      <c r="K22" s="2">
        <v>3987966443.9000001</v>
      </c>
      <c r="L22" s="241">
        <v>61</v>
      </c>
      <c r="M22" s="241">
        <v>641454000</v>
      </c>
      <c r="N22" s="241">
        <v>545235900</v>
      </c>
      <c r="O22" s="189">
        <f t="shared" si="8"/>
        <v>1622</v>
      </c>
      <c r="P22" s="90">
        <f t="shared" si="9"/>
        <v>10619824985</v>
      </c>
      <c r="Q22" s="91">
        <f t="shared" si="10"/>
        <v>9007490646.4599991</v>
      </c>
    </row>
    <row r="23" spans="1:26" x14ac:dyDescent="0.25">
      <c r="A23" s="21">
        <v>4</v>
      </c>
      <c r="B23" s="137" t="s">
        <v>21</v>
      </c>
      <c r="C23" s="18">
        <v>210</v>
      </c>
      <c r="D23" s="2">
        <v>1079579281</v>
      </c>
      <c r="E23" s="2">
        <v>917664388.53999996</v>
      </c>
      <c r="F23" s="18">
        <v>485</v>
      </c>
      <c r="G23" s="2">
        <v>2361572188</v>
      </c>
      <c r="H23" s="2">
        <v>1988213909.6499999</v>
      </c>
      <c r="I23" s="18">
        <v>1061</v>
      </c>
      <c r="J23" s="2">
        <v>9607530355</v>
      </c>
      <c r="K23" s="2">
        <v>8132595063.6999998</v>
      </c>
      <c r="L23" s="241">
        <v>207</v>
      </c>
      <c r="M23" s="241">
        <v>2050984000</v>
      </c>
      <c r="N23" s="241">
        <v>1743336400</v>
      </c>
      <c r="O23" s="189">
        <f t="shared" si="8"/>
        <v>1963</v>
      </c>
      <c r="P23" s="90">
        <f t="shared" si="9"/>
        <v>15099665824</v>
      </c>
      <c r="Q23" s="91">
        <f t="shared" si="10"/>
        <v>12781809761.889999</v>
      </c>
      <c r="T23" s="29" t="s">
        <v>83</v>
      </c>
    </row>
    <row r="24" spans="1:26" x14ac:dyDescent="0.25">
      <c r="A24" s="21">
        <v>5</v>
      </c>
      <c r="B24" s="137" t="s">
        <v>22</v>
      </c>
      <c r="C24" s="18">
        <v>246</v>
      </c>
      <c r="D24" s="2">
        <v>1405221030</v>
      </c>
      <c r="E24" s="2">
        <v>1186831372.6000001</v>
      </c>
      <c r="F24" s="18">
        <v>684</v>
      </c>
      <c r="G24" s="2">
        <v>3615642960</v>
      </c>
      <c r="H24" s="2">
        <v>3071987616.3000002</v>
      </c>
      <c r="I24" s="18">
        <v>827</v>
      </c>
      <c r="J24" s="2">
        <v>5769645155</v>
      </c>
      <c r="K24" s="2">
        <v>4766116506.4400005</v>
      </c>
      <c r="L24" s="241">
        <v>133</v>
      </c>
      <c r="M24" s="241">
        <v>1159958800</v>
      </c>
      <c r="N24" s="241">
        <v>985964980</v>
      </c>
      <c r="O24" s="189">
        <f t="shared" si="8"/>
        <v>1890</v>
      </c>
      <c r="P24" s="90">
        <f t="shared" si="9"/>
        <v>11950467945</v>
      </c>
      <c r="Q24" s="91">
        <f t="shared" si="10"/>
        <v>10010900475.34</v>
      </c>
    </row>
    <row r="25" spans="1:26" x14ac:dyDescent="0.25">
      <c r="A25" s="21">
        <v>6</v>
      </c>
      <c r="B25" s="137" t="s">
        <v>23</v>
      </c>
      <c r="C25" s="18">
        <v>131</v>
      </c>
      <c r="D25" s="2">
        <v>870511090</v>
      </c>
      <c r="E25" s="2">
        <v>739934426.5</v>
      </c>
      <c r="F25" s="18">
        <v>905</v>
      </c>
      <c r="G25" s="2">
        <v>4492928414</v>
      </c>
      <c r="H25" s="2">
        <v>3781744153.3500004</v>
      </c>
      <c r="I25" s="18">
        <v>1854</v>
      </c>
      <c r="J25" s="2">
        <v>11166897873</v>
      </c>
      <c r="K25" s="2">
        <v>9464003165.6000004</v>
      </c>
      <c r="L25" s="241">
        <v>336</v>
      </c>
      <c r="M25" s="241">
        <v>2255948000</v>
      </c>
      <c r="N25" s="241">
        <v>1917555800</v>
      </c>
      <c r="O25" s="189">
        <f t="shared" si="8"/>
        <v>3226</v>
      </c>
      <c r="P25" s="90">
        <f t="shared" si="9"/>
        <v>18786285377</v>
      </c>
      <c r="Q25" s="91">
        <f t="shared" si="10"/>
        <v>15903237545.450001</v>
      </c>
    </row>
    <row r="26" spans="1:26" x14ac:dyDescent="0.25">
      <c r="A26" s="21">
        <v>7</v>
      </c>
      <c r="B26" s="137" t="s">
        <v>24</v>
      </c>
      <c r="C26" s="18">
        <v>224</v>
      </c>
      <c r="D26" s="2">
        <v>1006568885</v>
      </c>
      <c r="E26" s="2">
        <v>855583552.25</v>
      </c>
      <c r="F26" s="18">
        <v>521</v>
      </c>
      <c r="G26" s="2">
        <v>2612227107</v>
      </c>
      <c r="H26" s="2">
        <v>2220227840.9499998</v>
      </c>
      <c r="I26" s="18">
        <v>1039</v>
      </c>
      <c r="J26" s="2">
        <v>6836432793</v>
      </c>
      <c r="K26" s="2">
        <v>5743679356.5</v>
      </c>
      <c r="L26" s="241">
        <v>167</v>
      </c>
      <c r="M26" s="241">
        <v>1431794000</v>
      </c>
      <c r="N26" s="241">
        <v>1217024900</v>
      </c>
      <c r="O26" s="189">
        <f t="shared" si="8"/>
        <v>1951</v>
      </c>
      <c r="P26" s="90">
        <f t="shared" si="9"/>
        <v>11887022785</v>
      </c>
      <c r="Q26" s="91">
        <f t="shared" si="10"/>
        <v>10036515649.700001</v>
      </c>
    </row>
    <row r="27" spans="1:26" x14ac:dyDescent="0.25">
      <c r="A27" s="21">
        <v>8</v>
      </c>
      <c r="B27" s="137" t="s">
        <v>25</v>
      </c>
      <c r="C27" s="18">
        <v>212</v>
      </c>
      <c r="D27" s="2">
        <v>1074066078</v>
      </c>
      <c r="E27" s="2">
        <v>911955266.05000007</v>
      </c>
      <c r="F27" s="18">
        <v>892</v>
      </c>
      <c r="G27" s="2">
        <v>4863055108</v>
      </c>
      <c r="H27" s="2">
        <v>4129886884.4100003</v>
      </c>
      <c r="I27" s="18">
        <v>887</v>
      </c>
      <c r="J27" s="2">
        <v>7156976404</v>
      </c>
      <c r="K27" s="2">
        <v>6001306938</v>
      </c>
      <c r="L27" s="241">
        <v>162</v>
      </c>
      <c r="M27" s="241">
        <v>1509151000</v>
      </c>
      <c r="N27" s="241">
        <v>1282778350</v>
      </c>
      <c r="O27" s="189">
        <f t="shared" si="8"/>
        <v>2153</v>
      </c>
      <c r="P27" s="90">
        <f t="shared" si="9"/>
        <v>14603248590</v>
      </c>
      <c r="Q27" s="91">
        <f t="shared" si="10"/>
        <v>12325927438.459999</v>
      </c>
    </row>
    <row r="28" spans="1:26" x14ac:dyDescent="0.25">
      <c r="A28" s="21">
        <v>9</v>
      </c>
      <c r="B28" s="137" t="s">
        <v>26</v>
      </c>
      <c r="C28" s="18">
        <v>167</v>
      </c>
      <c r="D28" s="2">
        <v>964986746</v>
      </c>
      <c r="E28" s="2">
        <v>820238734.39999998</v>
      </c>
      <c r="F28" s="18">
        <v>573</v>
      </c>
      <c r="G28" s="2">
        <v>3925700762.46</v>
      </c>
      <c r="H28" s="2">
        <v>3321064898.0800004</v>
      </c>
      <c r="I28" s="18">
        <v>655</v>
      </c>
      <c r="J28" s="2">
        <v>5322717763</v>
      </c>
      <c r="K28" s="2">
        <v>4475811086.25</v>
      </c>
      <c r="L28" s="241">
        <v>103</v>
      </c>
      <c r="M28" s="241">
        <v>1065302000</v>
      </c>
      <c r="N28" s="241">
        <v>905506700</v>
      </c>
      <c r="O28" s="189">
        <f t="shared" si="8"/>
        <v>1498</v>
      </c>
      <c r="P28" s="90">
        <f t="shared" si="9"/>
        <v>11278707271.459999</v>
      </c>
      <c r="Q28" s="91">
        <f t="shared" si="10"/>
        <v>9522621418.7299995</v>
      </c>
    </row>
    <row r="29" spans="1:26" x14ac:dyDescent="0.25">
      <c r="A29" s="21">
        <v>10</v>
      </c>
      <c r="B29" s="137" t="s">
        <v>27</v>
      </c>
      <c r="C29" s="18">
        <v>444</v>
      </c>
      <c r="D29" s="2">
        <v>2115171104</v>
      </c>
      <c r="E29" s="2">
        <v>1797895438.4000001</v>
      </c>
      <c r="F29" s="18">
        <v>877</v>
      </c>
      <c r="G29" s="2">
        <v>4088122282</v>
      </c>
      <c r="H29" s="2">
        <v>3472971706.3700004</v>
      </c>
      <c r="I29" s="18">
        <v>1283</v>
      </c>
      <c r="J29" s="2">
        <v>7728199964</v>
      </c>
      <c r="K29" s="2">
        <v>6473097115.1999998</v>
      </c>
      <c r="L29" s="241">
        <v>224</v>
      </c>
      <c r="M29" s="241">
        <v>1379988000</v>
      </c>
      <c r="N29" s="241">
        <v>1172989800</v>
      </c>
      <c r="O29" s="189">
        <f t="shared" si="8"/>
        <v>2828</v>
      </c>
      <c r="P29" s="90">
        <f t="shared" si="9"/>
        <v>15311481350</v>
      </c>
      <c r="Q29" s="91">
        <f t="shared" si="10"/>
        <v>12916954059.970001</v>
      </c>
      <c r="W29" s="34"/>
    </row>
    <row r="30" spans="1:26" x14ac:dyDescent="0.25">
      <c r="A30" s="21">
        <v>11</v>
      </c>
      <c r="B30" s="137" t="s">
        <v>28</v>
      </c>
      <c r="C30" s="18">
        <v>314</v>
      </c>
      <c r="D30" s="2">
        <v>1705527912</v>
      </c>
      <c r="E30" s="2">
        <v>1449698725.3500004</v>
      </c>
      <c r="F30" s="18">
        <v>687</v>
      </c>
      <c r="G30" s="2">
        <v>6091167358</v>
      </c>
      <c r="H30" s="2">
        <v>5113924642.000001</v>
      </c>
      <c r="I30" s="18">
        <v>1339</v>
      </c>
      <c r="J30" s="2">
        <v>10568554347</v>
      </c>
      <c r="K30" s="2">
        <v>8940936324.5</v>
      </c>
      <c r="L30" s="241">
        <v>337</v>
      </c>
      <c r="M30" s="241">
        <v>2904625000</v>
      </c>
      <c r="N30" s="241">
        <v>2468931250</v>
      </c>
      <c r="O30" s="189">
        <f t="shared" si="8"/>
        <v>2677</v>
      </c>
      <c r="P30" s="90">
        <f t="shared" si="9"/>
        <v>21269874617</v>
      </c>
      <c r="Q30" s="91">
        <f t="shared" si="10"/>
        <v>17973490941.850002</v>
      </c>
    </row>
    <row r="31" spans="1:26" x14ac:dyDescent="0.25">
      <c r="A31" s="21">
        <v>12</v>
      </c>
      <c r="B31" s="137" t="s">
        <v>29</v>
      </c>
      <c r="C31" s="18">
        <v>161</v>
      </c>
      <c r="D31" s="2">
        <v>854034376</v>
      </c>
      <c r="E31" s="2">
        <v>725902219.20000005</v>
      </c>
      <c r="F31" s="18">
        <v>527</v>
      </c>
      <c r="G31" s="2">
        <v>2814478346</v>
      </c>
      <c r="H31" s="2">
        <v>2380156786.8899999</v>
      </c>
      <c r="I31" s="18">
        <v>641</v>
      </c>
      <c r="J31" s="2">
        <v>5270874901</v>
      </c>
      <c r="K31" s="2">
        <v>4458011410.6999998</v>
      </c>
      <c r="L31" s="241">
        <v>150</v>
      </c>
      <c r="M31" s="241">
        <v>1466930600</v>
      </c>
      <c r="N31" s="241">
        <v>1246891010</v>
      </c>
      <c r="O31" s="189">
        <f t="shared" si="8"/>
        <v>1479</v>
      </c>
      <c r="P31" s="90">
        <f t="shared" si="9"/>
        <v>10406318223</v>
      </c>
      <c r="Q31" s="91">
        <f t="shared" si="10"/>
        <v>8810961426.7900009</v>
      </c>
    </row>
    <row r="32" spans="1:26" x14ac:dyDescent="0.25">
      <c r="A32" s="21">
        <v>13</v>
      </c>
      <c r="B32" s="137" t="s">
        <v>30</v>
      </c>
      <c r="C32" s="18">
        <v>76</v>
      </c>
      <c r="D32" s="2">
        <v>612303794</v>
      </c>
      <c r="E32" s="2">
        <v>520458224.89999998</v>
      </c>
      <c r="F32" s="18">
        <v>396</v>
      </c>
      <c r="G32" s="2">
        <v>2507429880</v>
      </c>
      <c r="H32" s="2">
        <v>2120013397.1499999</v>
      </c>
      <c r="I32" s="18">
        <v>329</v>
      </c>
      <c r="J32" s="2">
        <v>2955837437</v>
      </c>
      <c r="K32" s="2">
        <v>2482668911</v>
      </c>
      <c r="L32" s="241">
        <v>75</v>
      </c>
      <c r="M32" s="241">
        <v>681876000</v>
      </c>
      <c r="N32" s="241">
        <v>579594600</v>
      </c>
      <c r="O32" s="189">
        <f t="shared" si="8"/>
        <v>876</v>
      </c>
      <c r="P32" s="90">
        <f t="shared" si="9"/>
        <v>6757447111</v>
      </c>
      <c r="Q32" s="91">
        <f t="shared" si="10"/>
        <v>5702735133.0499992</v>
      </c>
    </row>
    <row r="33" spans="1:17" x14ac:dyDescent="0.25">
      <c r="A33" s="21">
        <v>14</v>
      </c>
      <c r="B33" s="137" t="s">
        <v>31</v>
      </c>
      <c r="C33" s="18">
        <v>76</v>
      </c>
      <c r="D33" s="2">
        <v>327422515</v>
      </c>
      <c r="E33" s="2">
        <v>278309137.14999998</v>
      </c>
      <c r="F33" s="18">
        <v>1260</v>
      </c>
      <c r="G33" s="2">
        <v>5342921198.5500002</v>
      </c>
      <c r="H33" s="2">
        <v>4546205914.2400007</v>
      </c>
      <c r="I33" s="18">
        <v>919</v>
      </c>
      <c r="J33" s="2">
        <v>5635637000</v>
      </c>
      <c r="K33" s="2">
        <v>4766308750</v>
      </c>
      <c r="L33" s="241">
        <v>113</v>
      </c>
      <c r="M33" s="241">
        <v>886118000</v>
      </c>
      <c r="N33" s="241">
        <v>753200300</v>
      </c>
      <c r="O33" s="189">
        <f t="shared" si="8"/>
        <v>2368</v>
      </c>
      <c r="P33" s="90">
        <f t="shared" si="9"/>
        <v>12192098713.549999</v>
      </c>
      <c r="Q33" s="91">
        <f t="shared" si="10"/>
        <v>10344024101.389999</v>
      </c>
    </row>
    <row r="34" spans="1:17" x14ac:dyDescent="0.25">
      <c r="A34" s="21">
        <v>15</v>
      </c>
      <c r="B34" s="137" t="s">
        <v>32</v>
      </c>
      <c r="C34" s="18">
        <v>140</v>
      </c>
      <c r="D34" s="2">
        <v>741030715</v>
      </c>
      <c r="E34" s="2">
        <v>629876007.75</v>
      </c>
      <c r="F34" s="18">
        <v>1015</v>
      </c>
      <c r="G34" s="2">
        <v>5033182597</v>
      </c>
      <c r="H34" s="2">
        <v>4295162707.3999996</v>
      </c>
      <c r="I34" s="18">
        <v>1274</v>
      </c>
      <c r="J34" s="2">
        <v>7636945569</v>
      </c>
      <c r="K34" s="2">
        <v>6473658603.6000004</v>
      </c>
      <c r="L34" s="241">
        <v>23</v>
      </c>
      <c r="M34" s="241">
        <v>247656000</v>
      </c>
      <c r="N34" s="241">
        <v>210507600</v>
      </c>
      <c r="O34" s="189">
        <f t="shared" si="8"/>
        <v>2452</v>
      </c>
      <c r="P34" s="90">
        <f t="shared" si="9"/>
        <v>13658814881</v>
      </c>
      <c r="Q34" s="91">
        <f t="shared" si="10"/>
        <v>11609204918.75</v>
      </c>
    </row>
    <row r="35" spans="1:17" x14ac:dyDescent="0.25">
      <c r="A35" s="21">
        <v>16</v>
      </c>
      <c r="B35" s="137" t="s">
        <v>33</v>
      </c>
      <c r="C35" s="18">
        <v>382</v>
      </c>
      <c r="D35" s="2">
        <v>1999811293</v>
      </c>
      <c r="E35" s="2">
        <v>1698139599.05</v>
      </c>
      <c r="F35" s="18">
        <v>1012</v>
      </c>
      <c r="G35" s="2">
        <v>5420881527</v>
      </c>
      <c r="H35" s="2">
        <v>4607749296.0099993</v>
      </c>
      <c r="I35" s="18">
        <v>967</v>
      </c>
      <c r="J35" s="2">
        <v>6985181701</v>
      </c>
      <c r="K35" s="2">
        <v>5913774431.8000002</v>
      </c>
      <c r="L35" s="241">
        <v>58</v>
      </c>
      <c r="M35" s="241">
        <v>474210000</v>
      </c>
      <c r="N35" s="241">
        <v>403078500</v>
      </c>
      <c r="O35" s="189">
        <f t="shared" si="8"/>
        <v>2419</v>
      </c>
      <c r="P35" s="90">
        <f t="shared" si="9"/>
        <v>14880084521</v>
      </c>
      <c r="Q35" s="91">
        <f t="shared" si="10"/>
        <v>12622741826.860001</v>
      </c>
    </row>
    <row r="36" spans="1:17" x14ac:dyDescent="0.25">
      <c r="A36" s="21">
        <v>17</v>
      </c>
      <c r="B36" s="137" t="s">
        <v>128</v>
      </c>
      <c r="C36" s="12">
        <v>346</v>
      </c>
      <c r="D36" s="36">
        <v>1869794012</v>
      </c>
      <c r="E36" s="36">
        <v>1589324910.0500002</v>
      </c>
      <c r="F36" s="12">
        <v>802</v>
      </c>
      <c r="G36" s="36">
        <v>5685834785.8500004</v>
      </c>
      <c r="H36" s="36">
        <v>4837353721.249999</v>
      </c>
      <c r="I36" s="12">
        <v>1302</v>
      </c>
      <c r="J36" s="36">
        <v>11090558737</v>
      </c>
      <c r="K36" s="36">
        <v>9269930217</v>
      </c>
      <c r="L36" s="242">
        <v>94</v>
      </c>
      <c r="M36" s="242">
        <v>898543000</v>
      </c>
      <c r="N36" s="242">
        <v>763761550</v>
      </c>
      <c r="O36" s="189">
        <f t="shared" si="8"/>
        <v>2544</v>
      </c>
      <c r="P36" s="90">
        <f t="shared" si="9"/>
        <v>19544730534.849998</v>
      </c>
      <c r="Q36" s="91">
        <f t="shared" si="10"/>
        <v>16460370398.299999</v>
      </c>
    </row>
    <row r="37" spans="1:17" x14ac:dyDescent="0.25">
      <c r="A37" s="21">
        <v>18</v>
      </c>
      <c r="B37" s="137" t="s">
        <v>110</v>
      </c>
      <c r="C37" s="12"/>
      <c r="D37" s="36"/>
      <c r="E37" s="36"/>
      <c r="F37" s="12"/>
      <c r="G37" s="36"/>
      <c r="H37" s="213"/>
      <c r="I37" s="12">
        <v>235</v>
      </c>
      <c r="J37" s="36">
        <v>2758739178</v>
      </c>
      <c r="K37" s="36">
        <v>2240547455</v>
      </c>
      <c r="L37" s="242">
        <v>430</v>
      </c>
      <c r="M37" s="242">
        <v>3859456000</v>
      </c>
      <c r="N37" s="242">
        <v>3267162600</v>
      </c>
      <c r="O37" s="189">
        <f t="shared" si="8"/>
        <v>665</v>
      </c>
      <c r="P37" s="90">
        <f t="shared" si="9"/>
        <v>6618195178</v>
      </c>
      <c r="Q37" s="91">
        <f t="shared" si="10"/>
        <v>5507710055</v>
      </c>
    </row>
    <row r="38" spans="1:17" x14ac:dyDescent="0.25">
      <c r="A38" s="21">
        <v>19</v>
      </c>
      <c r="B38" s="137" t="s">
        <v>114</v>
      </c>
      <c r="C38" s="12"/>
      <c r="D38" s="36"/>
      <c r="E38" s="36"/>
      <c r="F38" s="12"/>
      <c r="G38" s="36"/>
      <c r="H38" s="213"/>
      <c r="I38" s="12">
        <v>116</v>
      </c>
      <c r="J38" s="36">
        <v>1050878980</v>
      </c>
      <c r="K38" s="36">
        <v>893247133</v>
      </c>
      <c r="L38" s="242">
        <v>313</v>
      </c>
      <c r="M38" s="242">
        <v>3013687000</v>
      </c>
      <c r="N38" s="242">
        <v>2561633950</v>
      </c>
      <c r="O38" s="189">
        <f t="shared" si="8"/>
        <v>429</v>
      </c>
      <c r="P38" s="90">
        <f t="shared" si="9"/>
        <v>4064565980</v>
      </c>
      <c r="Q38" s="91">
        <f t="shared" si="10"/>
        <v>3454881083</v>
      </c>
    </row>
    <row r="39" spans="1:17" ht="15.75" thickBot="1" x14ac:dyDescent="0.3">
      <c r="A39" s="21">
        <v>20</v>
      </c>
      <c r="B39" s="137" t="s">
        <v>113</v>
      </c>
      <c r="C39" s="12"/>
      <c r="D39" s="36"/>
      <c r="E39" s="36"/>
      <c r="F39" s="12"/>
      <c r="G39" s="36"/>
      <c r="H39" s="213"/>
      <c r="I39" s="12">
        <v>48</v>
      </c>
      <c r="J39" s="36">
        <v>450327000</v>
      </c>
      <c r="K39" s="36">
        <v>382777950</v>
      </c>
      <c r="L39" s="242">
        <v>261</v>
      </c>
      <c r="M39" s="242">
        <v>1811722000</v>
      </c>
      <c r="N39" s="242">
        <v>1528167200</v>
      </c>
      <c r="O39" s="189">
        <f t="shared" si="8"/>
        <v>309</v>
      </c>
      <c r="P39" s="90">
        <f t="shared" si="9"/>
        <v>2262049000</v>
      </c>
      <c r="Q39" s="91">
        <f t="shared" si="10"/>
        <v>1910945150</v>
      </c>
    </row>
    <row r="40" spans="1:17" ht="15.75" thickBot="1" x14ac:dyDescent="0.3">
      <c r="A40" s="21"/>
      <c r="B40" s="22" t="s">
        <v>18</v>
      </c>
      <c r="C40" s="24">
        <f t="shared" ref="C40:H40" si="11">SUM(C20:C36)</f>
        <v>3749</v>
      </c>
      <c r="D40" s="23">
        <f t="shared" si="11"/>
        <v>20333803443</v>
      </c>
      <c r="E40" s="23">
        <f t="shared" si="11"/>
        <v>17268540583.189999</v>
      </c>
      <c r="F40" s="94">
        <f t="shared" si="11"/>
        <v>13397</v>
      </c>
      <c r="G40" s="113">
        <f t="shared" si="11"/>
        <v>75139705094.860016</v>
      </c>
      <c r="H40" s="119">
        <f t="shared" si="11"/>
        <v>63650162239.760002</v>
      </c>
      <c r="I40" s="94">
        <f t="shared" ref="I40:Q40" si="12">SUM(I20:I39)</f>
        <v>17678</v>
      </c>
      <c r="J40" s="115">
        <f t="shared" si="12"/>
        <v>129757697989</v>
      </c>
      <c r="K40" s="115">
        <f t="shared" si="12"/>
        <v>109055957482.09</v>
      </c>
      <c r="L40" s="115">
        <f t="shared" si="12"/>
        <v>3582</v>
      </c>
      <c r="M40" s="115">
        <f t="shared" si="12"/>
        <v>30800085193</v>
      </c>
      <c r="N40" s="115">
        <f t="shared" si="12"/>
        <v>26116014809</v>
      </c>
      <c r="O40" s="190">
        <f t="shared" si="12"/>
        <v>38406</v>
      </c>
      <c r="P40" s="190">
        <f t="shared" si="12"/>
        <v>256031291719.85999</v>
      </c>
      <c r="Q40" s="190">
        <f t="shared" si="12"/>
        <v>216090675114.03992</v>
      </c>
    </row>
    <row r="42" spans="1:17" x14ac:dyDescent="0.25">
      <c r="D42" s="31" t="s">
        <v>83</v>
      </c>
    </row>
    <row r="43" spans="1:17" x14ac:dyDescent="0.25">
      <c r="J43" s="31" t="s">
        <v>83</v>
      </c>
    </row>
  </sheetData>
  <mergeCells count="10">
    <mergeCell ref="T16:U16"/>
    <mergeCell ref="F1:H1"/>
    <mergeCell ref="F18:H18"/>
    <mergeCell ref="B1:E1"/>
    <mergeCell ref="B18:E18"/>
    <mergeCell ref="A15:B15"/>
    <mergeCell ref="I18:K18"/>
    <mergeCell ref="I1:K1"/>
    <mergeCell ref="L1:N1"/>
    <mergeCell ref="L18:N18"/>
  </mergeCells>
  <pageMargins left="0.7" right="0.7" top="0.75" bottom="0.75" header="0.3" footer="0.3"/>
  <pageSetup paperSize="9" scale="2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view="pageBreakPreview" zoomScale="80" zoomScaleNormal="81" zoomScaleSheetLayoutView="80" workbookViewId="0">
      <pane xSplit="2" ySplit="2" topLeftCell="C19" activePane="bottomRight" state="frozen"/>
      <selection pane="topRight" activeCell="C1" sqref="C1"/>
      <selection pane="bottomLeft" activeCell="A3" sqref="A3"/>
      <selection pane="bottomRight" activeCell="N46" sqref="N46"/>
    </sheetView>
  </sheetViews>
  <sheetFormatPr defaultColWidth="9.140625" defaultRowHeight="15" x14ac:dyDescent="0.25"/>
  <cols>
    <col min="1" max="1" width="5.42578125" style="29" customWidth="1"/>
    <col min="2" max="2" width="32.28515625" style="29" customWidth="1"/>
    <col min="3" max="3" width="12.42578125" style="29" customWidth="1"/>
    <col min="4" max="4" width="11.7109375" style="29" customWidth="1"/>
    <col min="5" max="5" width="17.7109375" style="29" customWidth="1"/>
    <col min="6" max="6" width="19.140625" style="29" customWidth="1"/>
    <col min="7" max="7" width="8.140625" style="29" customWidth="1"/>
    <col min="8" max="8" width="9.85546875" style="29" customWidth="1"/>
    <col min="9" max="9" width="19.140625" style="29" customWidth="1"/>
    <col min="10" max="10" width="19.28515625" style="29" customWidth="1"/>
    <col min="11" max="12" width="11.42578125" style="29" customWidth="1"/>
    <col min="13" max="13" width="17.42578125" style="29" customWidth="1"/>
    <col min="14" max="14" width="15.140625" style="29" customWidth="1"/>
    <col min="15" max="15" width="12.42578125" style="29" customWidth="1"/>
    <col min="16" max="17" width="21.5703125" style="29" customWidth="1"/>
    <col min="18" max="18" width="13.7109375" style="29" customWidth="1"/>
    <col min="19" max="19" width="8.42578125" style="29" customWidth="1"/>
    <col min="20" max="21" width="19" style="29" bestFit="1" customWidth="1"/>
    <col min="22" max="22" width="10.7109375" style="29" customWidth="1"/>
    <col min="23" max="23" width="9.140625" style="29" customWidth="1"/>
    <col min="24" max="26" width="19" style="29" bestFit="1" customWidth="1"/>
    <col min="27" max="27" width="8" style="29" customWidth="1"/>
    <col min="28" max="29" width="19" style="29" bestFit="1" customWidth="1"/>
    <col min="30" max="31" width="20.140625" style="29" bestFit="1" customWidth="1"/>
    <col min="32" max="32" width="18.5703125" style="29" customWidth="1"/>
    <col min="33" max="16384" width="9.140625" style="29"/>
  </cols>
  <sheetData>
    <row r="1" spans="1:32" ht="46.5" customHeight="1" thickBot="1" x14ac:dyDescent="0.3">
      <c r="B1" s="244" t="s">
        <v>48</v>
      </c>
      <c r="C1" s="244"/>
      <c r="D1" s="244"/>
      <c r="E1" s="244"/>
      <c r="F1" s="244"/>
      <c r="G1" s="244"/>
      <c r="H1" s="41"/>
      <c r="I1" s="40"/>
      <c r="J1" s="40"/>
      <c r="K1" s="40"/>
      <c r="L1" s="40"/>
      <c r="M1" s="40"/>
      <c r="N1" s="40"/>
      <c r="O1" s="40"/>
      <c r="P1" s="40"/>
      <c r="R1" s="254" t="s">
        <v>87</v>
      </c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5"/>
    </row>
    <row r="2" spans="1:32" ht="57" thickBot="1" x14ac:dyDescent="0.3">
      <c r="A2" s="120" t="s">
        <v>0</v>
      </c>
      <c r="B2" s="121" t="s">
        <v>39</v>
      </c>
      <c r="C2" s="120" t="s">
        <v>50</v>
      </c>
      <c r="D2" s="122" t="s">
        <v>54</v>
      </c>
      <c r="E2" s="123" t="s">
        <v>42</v>
      </c>
      <c r="F2" s="124" t="s">
        <v>43</v>
      </c>
      <c r="G2" s="120" t="s">
        <v>51</v>
      </c>
      <c r="H2" s="122" t="s">
        <v>54</v>
      </c>
      <c r="I2" s="123" t="s">
        <v>42</v>
      </c>
      <c r="J2" s="124" t="s">
        <v>43</v>
      </c>
      <c r="K2" s="125" t="s">
        <v>52</v>
      </c>
      <c r="L2" s="123" t="s">
        <v>54</v>
      </c>
      <c r="M2" s="123" t="s">
        <v>42</v>
      </c>
      <c r="N2" s="124" t="s">
        <v>43</v>
      </c>
      <c r="O2" s="68" t="s">
        <v>53</v>
      </c>
      <c r="P2" s="69" t="s">
        <v>42</v>
      </c>
      <c r="Q2" s="159" t="s">
        <v>43</v>
      </c>
      <c r="R2" s="165" t="s">
        <v>50</v>
      </c>
      <c r="S2" s="165" t="s">
        <v>54</v>
      </c>
      <c r="T2" s="166" t="s">
        <v>42</v>
      </c>
      <c r="U2" s="166" t="s">
        <v>43</v>
      </c>
      <c r="V2" s="177" t="s">
        <v>51</v>
      </c>
      <c r="W2" s="165" t="s">
        <v>54</v>
      </c>
      <c r="X2" s="166" t="s">
        <v>42</v>
      </c>
      <c r="Y2" s="166" t="s">
        <v>43</v>
      </c>
      <c r="Z2" s="166" t="s">
        <v>52</v>
      </c>
      <c r="AA2" s="165" t="s">
        <v>54</v>
      </c>
      <c r="AB2" s="166" t="s">
        <v>42</v>
      </c>
      <c r="AC2" s="166" t="s">
        <v>43</v>
      </c>
      <c r="AD2" s="168" t="s">
        <v>53</v>
      </c>
      <c r="AE2" s="178" t="s">
        <v>42</v>
      </c>
      <c r="AF2" s="178" t="s">
        <v>43</v>
      </c>
    </row>
    <row r="3" spans="1:32" x14ac:dyDescent="0.25">
      <c r="A3" s="56">
        <v>1</v>
      </c>
      <c r="B3" s="57" t="s">
        <v>3</v>
      </c>
      <c r="C3" s="58">
        <v>16</v>
      </c>
      <c r="D3" s="59">
        <f>C3/O3</f>
        <v>5.5172413793103448E-2</v>
      </c>
      <c r="E3" s="60">
        <v>219665000</v>
      </c>
      <c r="F3" s="61">
        <v>186715250</v>
      </c>
      <c r="G3" s="58">
        <v>274</v>
      </c>
      <c r="H3" s="59">
        <f>G3/O3</f>
        <v>0.94482758620689655</v>
      </c>
      <c r="I3" s="60">
        <v>1184034197</v>
      </c>
      <c r="J3" s="61">
        <v>1004728167.6399999</v>
      </c>
      <c r="K3" s="62"/>
      <c r="L3" s="63">
        <f>K3/O3</f>
        <v>0</v>
      </c>
      <c r="M3" s="64"/>
      <c r="N3" s="65"/>
      <c r="O3" s="66">
        <f>C3+G3+K3</f>
        <v>290</v>
      </c>
      <c r="P3" s="67">
        <f>E3+I3+K3</f>
        <v>1403699197</v>
      </c>
      <c r="Q3" s="160">
        <f>F3+J3+N3</f>
        <v>1191443417.6399999</v>
      </c>
      <c r="R3" s="171">
        <v>74</v>
      </c>
      <c r="S3" s="172">
        <f>R3/AD3</f>
        <v>0.24915824915824916</v>
      </c>
      <c r="T3" s="43">
        <v>1089386509</v>
      </c>
      <c r="U3" s="43">
        <v>925978533.35000002</v>
      </c>
      <c r="V3" s="171">
        <v>223</v>
      </c>
      <c r="W3" s="172">
        <f t="shared" ref="W3:W8" si="0">V3/AD3</f>
        <v>0.75084175084175087</v>
      </c>
      <c r="X3" s="43">
        <v>1020010781</v>
      </c>
      <c r="Y3" s="43">
        <v>867009163.8499999</v>
      </c>
      <c r="Z3" s="171">
        <v>0</v>
      </c>
      <c r="AA3" s="172">
        <f>Z3/AD3</f>
        <v>0</v>
      </c>
      <c r="AB3" s="43">
        <v>0</v>
      </c>
      <c r="AC3" s="43">
        <v>0</v>
      </c>
      <c r="AD3" s="171">
        <f>R3+V3</f>
        <v>297</v>
      </c>
      <c r="AE3" s="175">
        <f t="shared" ref="AE3:AE14" si="1">T3+X3+AB3</f>
        <v>2109397290</v>
      </c>
      <c r="AF3" s="176">
        <f t="shared" ref="AF3:AF14" si="2">U3+Y3+AC3</f>
        <v>1792987697.1999998</v>
      </c>
    </row>
    <row r="4" spans="1:32" x14ac:dyDescent="0.25">
      <c r="A4" s="53">
        <v>2</v>
      </c>
      <c r="B4" s="54" t="s">
        <v>4</v>
      </c>
      <c r="C4" s="42">
        <v>2</v>
      </c>
      <c r="D4" s="50">
        <f t="shared" ref="D4:D13" si="3">C4/O4</f>
        <v>0.11764705882352941</v>
      </c>
      <c r="E4" s="43">
        <v>22500000</v>
      </c>
      <c r="F4" s="44">
        <v>19125000</v>
      </c>
      <c r="G4" s="42">
        <v>15</v>
      </c>
      <c r="H4" s="50">
        <f t="shared" ref="H4:H13" si="4">G4/O4</f>
        <v>0.88235294117647056</v>
      </c>
      <c r="I4" s="43">
        <v>61000000</v>
      </c>
      <c r="J4" s="44">
        <v>51850000</v>
      </c>
      <c r="K4" s="45"/>
      <c r="L4" s="51">
        <f t="shared" ref="L4:L13" si="5">K4/O4</f>
        <v>0</v>
      </c>
      <c r="M4" s="46"/>
      <c r="N4" s="47"/>
      <c r="O4" s="55">
        <f t="shared" ref="O4:O13" si="6">C4+G4+K4</f>
        <v>17</v>
      </c>
      <c r="P4" s="52">
        <f t="shared" ref="P4:P12" si="7">E4+I4+K4</f>
        <v>83500000</v>
      </c>
      <c r="Q4" s="161">
        <f t="shared" ref="Q4:Q13" si="8">F4+J4+N4</f>
        <v>70975000</v>
      </c>
      <c r="R4" s="171">
        <v>8</v>
      </c>
      <c r="S4" s="172">
        <f>R4/AD4</f>
        <v>1</v>
      </c>
      <c r="T4" s="43">
        <v>109056073</v>
      </c>
      <c r="U4" s="43">
        <v>92697662.049999997</v>
      </c>
      <c r="V4" s="171">
        <v>0</v>
      </c>
      <c r="W4" s="172">
        <f t="shared" si="0"/>
        <v>0</v>
      </c>
      <c r="X4" s="43">
        <v>0</v>
      </c>
      <c r="Y4" s="43">
        <v>0</v>
      </c>
      <c r="Z4" s="171">
        <v>0</v>
      </c>
      <c r="AA4" s="169"/>
      <c r="AB4" s="43">
        <v>0</v>
      </c>
      <c r="AC4" s="43">
        <v>0</v>
      </c>
      <c r="AD4" s="171">
        <f>R4+V4+Z4</f>
        <v>8</v>
      </c>
      <c r="AE4" s="175">
        <f t="shared" si="1"/>
        <v>109056073</v>
      </c>
      <c r="AF4" s="176">
        <f t="shared" si="2"/>
        <v>92697662.049999997</v>
      </c>
    </row>
    <row r="5" spans="1:32" x14ac:dyDescent="0.25">
      <c r="A5" s="53">
        <v>3</v>
      </c>
      <c r="B5" s="54" t="s">
        <v>5</v>
      </c>
      <c r="C5" s="42">
        <v>59</v>
      </c>
      <c r="D5" s="50">
        <f t="shared" si="3"/>
        <v>0.10554561717352415</v>
      </c>
      <c r="E5" s="43">
        <v>486828765</v>
      </c>
      <c r="F5" s="44">
        <v>413804450</v>
      </c>
      <c r="G5" s="42">
        <v>497</v>
      </c>
      <c r="H5" s="50">
        <f t="shared" si="4"/>
        <v>0.88908765652951705</v>
      </c>
      <c r="I5" s="43">
        <v>1879754484</v>
      </c>
      <c r="J5" s="44">
        <v>1596788311.4000001</v>
      </c>
      <c r="K5" s="45">
        <v>3</v>
      </c>
      <c r="L5" s="51">
        <f t="shared" si="5"/>
        <v>5.3667262969588547E-3</v>
      </c>
      <c r="M5" s="46">
        <v>10436000</v>
      </c>
      <c r="N5" s="47">
        <v>8870600</v>
      </c>
      <c r="O5" s="55">
        <f t="shared" si="6"/>
        <v>559</v>
      </c>
      <c r="P5" s="52">
        <f t="shared" si="7"/>
        <v>2366583252</v>
      </c>
      <c r="Q5" s="161">
        <f t="shared" si="8"/>
        <v>2019463361.4000001</v>
      </c>
      <c r="R5" s="171">
        <v>259</v>
      </c>
      <c r="S5" s="172">
        <f>R5/AD5</f>
        <v>8.659311267134738E-2</v>
      </c>
      <c r="T5" s="43">
        <v>3020568164</v>
      </c>
      <c r="U5" s="43">
        <v>2541063503.3200002</v>
      </c>
      <c r="V5" s="171">
        <v>2732</v>
      </c>
      <c r="W5" s="172">
        <f t="shared" si="0"/>
        <v>0.91340688732865261</v>
      </c>
      <c r="X5" s="43">
        <v>11384615840</v>
      </c>
      <c r="Y5" s="43">
        <v>9671978826.5</v>
      </c>
      <c r="Z5" s="171">
        <v>0</v>
      </c>
      <c r="AA5" s="172">
        <f>Z5/AD5</f>
        <v>0</v>
      </c>
      <c r="AB5" s="43">
        <v>0</v>
      </c>
      <c r="AC5" s="43">
        <v>0</v>
      </c>
      <c r="AD5" s="171">
        <f>R5+V5</f>
        <v>2991</v>
      </c>
      <c r="AE5" s="175">
        <f t="shared" si="1"/>
        <v>14405184004</v>
      </c>
      <c r="AF5" s="176">
        <f t="shared" si="2"/>
        <v>12213042329.82</v>
      </c>
    </row>
    <row r="6" spans="1:32" x14ac:dyDescent="0.25">
      <c r="A6" s="53">
        <v>4</v>
      </c>
      <c r="B6" s="54" t="s">
        <v>8</v>
      </c>
      <c r="C6" s="42">
        <v>199</v>
      </c>
      <c r="D6" s="50">
        <f t="shared" si="3"/>
        <v>0.11768184506209343</v>
      </c>
      <c r="E6" s="43">
        <v>2214656600</v>
      </c>
      <c r="F6" s="44">
        <v>1875445610</v>
      </c>
      <c r="G6" s="42">
        <v>1491</v>
      </c>
      <c r="H6" s="50">
        <f t="shared" si="4"/>
        <v>0.88172678888231815</v>
      </c>
      <c r="I6" s="43">
        <v>5537805237</v>
      </c>
      <c r="J6" s="44">
        <v>4706820356.9499979</v>
      </c>
      <c r="K6" s="45">
        <v>1</v>
      </c>
      <c r="L6" s="51">
        <f t="shared" si="5"/>
        <v>5.9136605558840927E-4</v>
      </c>
      <c r="M6" s="46">
        <v>5000000</v>
      </c>
      <c r="N6" s="47">
        <v>4250000</v>
      </c>
      <c r="O6" s="55">
        <f t="shared" si="6"/>
        <v>1691</v>
      </c>
      <c r="P6" s="52">
        <f t="shared" si="7"/>
        <v>7752461838</v>
      </c>
      <c r="Q6" s="161">
        <f t="shared" si="8"/>
        <v>6586515966.9499979</v>
      </c>
      <c r="R6" s="171">
        <v>328</v>
      </c>
      <c r="S6" s="172">
        <f>R6/AD6</f>
        <v>6.4516129032258063E-2</v>
      </c>
      <c r="T6" s="43">
        <v>4699288079</v>
      </c>
      <c r="U6" s="43">
        <v>3992469867.6500001</v>
      </c>
      <c r="V6" s="171">
        <v>4755</v>
      </c>
      <c r="W6" s="172">
        <f t="shared" si="0"/>
        <v>0.9352871754523997</v>
      </c>
      <c r="X6" s="43">
        <v>17732819417.400002</v>
      </c>
      <c r="Y6" s="43">
        <v>15075349000.450012</v>
      </c>
      <c r="Z6" s="171">
        <v>1</v>
      </c>
      <c r="AA6" s="172">
        <f>Z6/AD6</f>
        <v>1.966955153422502E-4</v>
      </c>
      <c r="AB6" s="43">
        <v>5000000</v>
      </c>
      <c r="AC6" s="43">
        <v>4250000</v>
      </c>
      <c r="AD6" s="171">
        <f>R6+V6+Z6</f>
        <v>5084</v>
      </c>
      <c r="AE6" s="175">
        <f t="shared" si="1"/>
        <v>22437107496.400002</v>
      </c>
      <c r="AF6" s="176">
        <f t="shared" si="2"/>
        <v>19072068868.100014</v>
      </c>
    </row>
    <row r="7" spans="1:32" x14ac:dyDescent="0.25">
      <c r="A7" s="53">
        <v>5</v>
      </c>
      <c r="B7" s="54" t="s">
        <v>10</v>
      </c>
      <c r="C7" s="42">
        <v>310</v>
      </c>
      <c r="D7" s="50">
        <f t="shared" si="3"/>
        <v>0.29245283018867924</v>
      </c>
      <c r="E7" s="43">
        <v>3847592000</v>
      </c>
      <c r="F7" s="44">
        <v>3265318350</v>
      </c>
      <c r="G7" s="42">
        <v>750</v>
      </c>
      <c r="H7" s="50">
        <f t="shared" si="4"/>
        <v>0.70754716981132071</v>
      </c>
      <c r="I7" s="43">
        <v>3559469598</v>
      </c>
      <c r="J7" s="44">
        <v>3025544918.3000002</v>
      </c>
      <c r="K7" s="45"/>
      <c r="L7" s="51">
        <f t="shared" si="5"/>
        <v>0</v>
      </c>
      <c r="M7" s="46"/>
      <c r="N7" s="47"/>
      <c r="O7" s="55">
        <f t="shared" si="6"/>
        <v>1060</v>
      </c>
      <c r="P7" s="52">
        <f t="shared" si="7"/>
        <v>7407061598</v>
      </c>
      <c r="Q7" s="161">
        <f t="shared" si="8"/>
        <v>6290863268.3000002</v>
      </c>
      <c r="R7" s="171">
        <v>1293</v>
      </c>
      <c r="S7" s="172">
        <f>R7/AD7</f>
        <v>0.29642365887207706</v>
      </c>
      <c r="T7" s="43">
        <v>14234305024</v>
      </c>
      <c r="U7" s="43">
        <v>12103525020.4</v>
      </c>
      <c r="V7" s="171">
        <v>3069</v>
      </c>
      <c r="W7" s="172">
        <f t="shared" si="0"/>
        <v>0.703576341127923</v>
      </c>
      <c r="X7" s="43">
        <v>14101349095</v>
      </c>
      <c r="Y7" s="43">
        <v>11987166730.75</v>
      </c>
      <c r="Z7" s="171">
        <v>0</v>
      </c>
      <c r="AA7" s="172">
        <f>Z7/AD7</f>
        <v>0</v>
      </c>
      <c r="AB7" s="43">
        <v>0</v>
      </c>
      <c r="AC7" s="43">
        <v>0</v>
      </c>
      <c r="AD7" s="171">
        <f>R7+V7</f>
        <v>4362</v>
      </c>
      <c r="AE7" s="175">
        <f t="shared" si="1"/>
        <v>28335654119</v>
      </c>
      <c r="AF7" s="176">
        <f t="shared" si="2"/>
        <v>24090691751.150002</v>
      </c>
    </row>
    <row r="8" spans="1:32" x14ac:dyDescent="0.25">
      <c r="A8" s="53">
        <v>6</v>
      </c>
      <c r="B8" s="54" t="s">
        <v>37</v>
      </c>
      <c r="C8" s="42">
        <v>39</v>
      </c>
      <c r="D8" s="50">
        <f t="shared" si="3"/>
        <v>0.59090909090909094</v>
      </c>
      <c r="E8" s="43">
        <v>576800000</v>
      </c>
      <c r="F8" s="44">
        <v>490280000</v>
      </c>
      <c r="G8" s="42">
        <v>27</v>
      </c>
      <c r="H8" s="50">
        <f t="shared" si="4"/>
        <v>0.40909090909090912</v>
      </c>
      <c r="I8" s="43">
        <v>146800000</v>
      </c>
      <c r="J8" s="43">
        <v>124780000</v>
      </c>
      <c r="K8" s="45">
        <v>0</v>
      </c>
      <c r="L8" s="51">
        <f>K8/O8</f>
        <v>0</v>
      </c>
      <c r="M8" s="46">
        <v>0</v>
      </c>
      <c r="N8" s="47">
        <v>0</v>
      </c>
      <c r="O8" s="55">
        <f t="shared" si="6"/>
        <v>66</v>
      </c>
      <c r="P8" s="52">
        <f t="shared" si="7"/>
        <v>723600000</v>
      </c>
      <c r="Q8" s="161">
        <f t="shared" si="8"/>
        <v>615060000</v>
      </c>
      <c r="R8" s="171">
        <v>260</v>
      </c>
      <c r="S8" s="172">
        <f t="shared" ref="S8:S14" si="9">R8/AD8</f>
        <v>0.75362318840579712</v>
      </c>
      <c r="T8" s="43">
        <v>3995381532.46</v>
      </c>
      <c r="U8" s="43">
        <v>3369777002.29</v>
      </c>
      <c r="V8" s="171">
        <v>78</v>
      </c>
      <c r="W8" s="172">
        <f t="shared" si="0"/>
        <v>0.22608695652173913</v>
      </c>
      <c r="X8" s="43">
        <v>386304000</v>
      </c>
      <c r="Y8" s="43">
        <v>331384200</v>
      </c>
      <c r="Z8" s="171">
        <v>7</v>
      </c>
      <c r="AA8" s="172">
        <f t="shared" ref="AA8:AA14" si="10">Z8/AD8</f>
        <v>2.0289855072463767E-2</v>
      </c>
      <c r="AB8" s="43">
        <v>112500000</v>
      </c>
      <c r="AC8" s="43">
        <v>87141450</v>
      </c>
      <c r="AD8" s="171">
        <f>R8+V8+Z8</f>
        <v>345</v>
      </c>
      <c r="AE8" s="175">
        <f t="shared" si="1"/>
        <v>4494185532.46</v>
      </c>
      <c r="AF8" s="176">
        <f t="shared" si="2"/>
        <v>3788302652.29</v>
      </c>
    </row>
    <row r="9" spans="1:32" x14ac:dyDescent="0.25">
      <c r="A9" s="53">
        <v>7</v>
      </c>
      <c r="B9" s="54" t="s">
        <v>38</v>
      </c>
      <c r="C9" s="42">
        <v>8</v>
      </c>
      <c r="D9" s="50">
        <f t="shared" si="3"/>
        <v>0.88888888888888884</v>
      </c>
      <c r="E9" s="43">
        <v>116000000</v>
      </c>
      <c r="F9" s="44">
        <v>98600000</v>
      </c>
      <c r="G9" s="42"/>
      <c r="H9" s="50">
        <f t="shared" si="4"/>
        <v>0</v>
      </c>
      <c r="I9" s="43"/>
      <c r="J9" s="44"/>
      <c r="K9" s="45">
        <v>1</v>
      </c>
      <c r="L9" s="51">
        <f t="shared" si="5"/>
        <v>0.1111111111111111</v>
      </c>
      <c r="M9" s="46">
        <v>20000000</v>
      </c>
      <c r="N9" s="47">
        <v>17000000</v>
      </c>
      <c r="O9" s="55">
        <f t="shared" si="6"/>
        <v>9</v>
      </c>
      <c r="P9" s="52">
        <f t="shared" si="7"/>
        <v>116000001</v>
      </c>
      <c r="Q9" s="161">
        <f t="shared" si="8"/>
        <v>115600000</v>
      </c>
      <c r="R9" s="171">
        <v>2</v>
      </c>
      <c r="S9" s="172">
        <f t="shared" si="9"/>
        <v>1</v>
      </c>
      <c r="T9" s="43">
        <v>35000000</v>
      </c>
      <c r="U9" s="43">
        <v>29750000</v>
      </c>
      <c r="V9" s="171">
        <v>0</v>
      </c>
      <c r="W9" s="172">
        <v>0</v>
      </c>
      <c r="X9" s="171">
        <v>0</v>
      </c>
      <c r="Y9" s="171">
        <v>0</v>
      </c>
      <c r="Z9" s="171">
        <v>0</v>
      </c>
      <c r="AA9" s="172">
        <f t="shared" si="10"/>
        <v>0</v>
      </c>
      <c r="AB9" s="171">
        <v>0</v>
      </c>
      <c r="AC9" s="171">
        <v>0</v>
      </c>
      <c r="AD9" s="171">
        <f>R9+V9+Z9</f>
        <v>2</v>
      </c>
      <c r="AE9" s="175">
        <f t="shared" si="1"/>
        <v>35000000</v>
      </c>
      <c r="AF9" s="175">
        <f t="shared" si="2"/>
        <v>29750000</v>
      </c>
    </row>
    <row r="10" spans="1:32" x14ac:dyDescent="0.25">
      <c r="A10" s="53">
        <v>8</v>
      </c>
      <c r="B10" s="54" t="s">
        <v>9</v>
      </c>
      <c r="C10" s="42">
        <v>7</v>
      </c>
      <c r="D10" s="50">
        <f t="shared" si="3"/>
        <v>0.7</v>
      </c>
      <c r="E10" s="43">
        <v>58960500</v>
      </c>
      <c r="F10" s="44">
        <v>50116425</v>
      </c>
      <c r="G10" s="42">
        <v>3</v>
      </c>
      <c r="H10" s="50">
        <f t="shared" si="4"/>
        <v>0.3</v>
      </c>
      <c r="I10" s="43">
        <v>15000000</v>
      </c>
      <c r="J10" s="44">
        <v>12750000</v>
      </c>
      <c r="K10" s="45"/>
      <c r="L10" s="51">
        <f t="shared" si="5"/>
        <v>0</v>
      </c>
      <c r="M10" s="46"/>
      <c r="N10" s="47"/>
      <c r="O10" s="55">
        <f t="shared" si="6"/>
        <v>10</v>
      </c>
      <c r="P10" s="52">
        <f t="shared" si="7"/>
        <v>73960500</v>
      </c>
      <c r="Q10" s="161">
        <f t="shared" si="8"/>
        <v>62866425</v>
      </c>
      <c r="R10" s="171">
        <v>37</v>
      </c>
      <c r="S10" s="172">
        <f t="shared" si="9"/>
        <v>0.72549019607843135</v>
      </c>
      <c r="T10" s="43">
        <v>409419795</v>
      </c>
      <c r="U10" s="43">
        <v>322962026</v>
      </c>
      <c r="V10" s="171">
        <v>14</v>
      </c>
      <c r="W10" s="172">
        <f>V10/AD10</f>
        <v>0.27450980392156865</v>
      </c>
      <c r="X10" s="43">
        <v>55430205</v>
      </c>
      <c r="Y10" s="43">
        <v>47115674</v>
      </c>
      <c r="Z10" s="171">
        <v>0</v>
      </c>
      <c r="AA10" s="172">
        <f t="shared" si="10"/>
        <v>0</v>
      </c>
      <c r="AB10" s="43">
        <v>0</v>
      </c>
      <c r="AC10" s="43">
        <v>0</v>
      </c>
      <c r="AD10" s="171">
        <f>R10+V10</f>
        <v>51</v>
      </c>
      <c r="AE10" s="175">
        <f t="shared" si="1"/>
        <v>464850000</v>
      </c>
      <c r="AF10" s="176">
        <f t="shared" si="2"/>
        <v>370077700</v>
      </c>
    </row>
    <row r="11" spans="1:32" x14ac:dyDescent="0.25">
      <c r="A11" s="53">
        <v>9</v>
      </c>
      <c r="B11" s="54" t="s">
        <v>7</v>
      </c>
      <c r="C11" s="42">
        <v>18</v>
      </c>
      <c r="D11" s="50">
        <f t="shared" si="3"/>
        <v>1</v>
      </c>
      <c r="E11" s="43">
        <v>133306062</v>
      </c>
      <c r="F11" s="44">
        <v>113310152.7</v>
      </c>
      <c r="G11" s="42"/>
      <c r="H11" s="50">
        <f t="shared" si="4"/>
        <v>0</v>
      </c>
      <c r="I11" s="43"/>
      <c r="J11" s="44"/>
      <c r="K11" s="45"/>
      <c r="L11" s="51">
        <f t="shared" si="5"/>
        <v>0</v>
      </c>
      <c r="M11" s="46"/>
      <c r="N11" s="47"/>
      <c r="O11" s="55">
        <f t="shared" si="6"/>
        <v>18</v>
      </c>
      <c r="P11" s="52">
        <f t="shared" si="7"/>
        <v>133306062</v>
      </c>
      <c r="Q11" s="161">
        <f t="shared" si="8"/>
        <v>113310152.7</v>
      </c>
      <c r="R11" s="171">
        <v>210</v>
      </c>
      <c r="S11" s="172">
        <f t="shared" si="9"/>
        <v>0.86776859504132231</v>
      </c>
      <c r="T11" s="43">
        <v>1871965780</v>
      </c>
      <c r="U11" s="43">
        <v>1560046158</v>
      </c>
      <c r="V11" s="171">
        <v>32</v>
      </c>
      <c r="W11" s="172">
        <f>V11/AD11</f>
        <v>0.13223140495867769</v>
      </c>
      <c r="X11" s="43">
        <v>165530000</v>
      </c>
      <c r="Y11" s="43">
        <v>140700500</v>
      </c>
      <c r="Z11" s="171">
        <v>0</v>
      </c>
      <c r="AA11" s="172">
        <f t="shared" si="10"/>
        <v>0</v>
      </c>
      <c r="AB11" s="43">
        <v>0</v>
      </c>
      <c r="AC11" s="43">
        <v>0</v>
      </c>
      <c r="AD11" s="171">
        <f>R11+V11</f>
        <v>242</v>
      </c>
      <c r="AE11" s="175">
        <f t="shared" si="1"/>
        <v>2037495780</v>
      </c>
      <c r="AF11" s="176">
        <f t="shared" si="2"/>
        <v>1700746658</v>
      </c>
    </row>
    <row r="12" spans="1:32" x14ac:dyDescent="0.25">
      <c r="A12" s="53">
        <v>10</v>
      </c>
      <c r="B12" s="54" t="s">
        <v>47</v>
      </c>
      <c r="C12" s="42">
        <v>12</v>
      </c>
      <c r="D12" s="50">
        <f t="shared" si="3"/>
        <v>0.42857142857142855</v>
      </c>
      <c r="E12" s="43">
        <v>150700000</v>
      </c>
      <c r="F12" s="44">
        <v>128095000</v>
      </c>
      <c r="G12" s="42">
        <v>16</v>
      </c>
      <c r="H12" s="50">
        <f t="shared" si="4"/>
        <v>0.5714285714285714</v>
      </c>
      <c r="I12" s="74">
        <v>82500000</v>
      </c>
      <c r="J12" s="74">
        <v>70125000</v>
      </c>
      <c r="K12" s="45">
        <v>0</v>
      </c>
      <c r="L12" s="51">
        <f t="shared" si="5"/>
        <v>0</v>
      </c>
      <c r="M12" s="46">
        <v>0</v>
      </c>
      <c r="N12" s="47">
        <v>0</v>
      </c>
      <c r="O12" s="55">
        <f t="shared" si="6"/>
        <v>28</v>
      </c>
      <c r="P12" s="52">
        <f t="shared" si="7"/>
        <v>233200000</v>
      </c>
      <c r="Q12" s="161">
        <f t="shared" si="8"/>
        <v>198220000</v>
      </c>
      <c r="R12" s="171">
        <v>34</v>
      </c>
      <c r="S12" s="172">
        <f t="shared" si="9"/>
        <v>0.4</v>
      </c>
      <c r="T12" s="43">
        <v>372050000</v>
      </c>
      <c r="U12" s="43">
        <v>280066066</v>
      </c>
      <c r="V12" s="171">
        <v>51</v>
      </c>
      <c r="W12" s="172">
        <f>V12/AD12</f>
        <v>0.6</v>
      </c>
      <c r="X12" s="43">
        <v>271050000</v>
      </c>
      <c r="Y12" s="43">
        <v>216582776</v>
      </c>
      <c r="Z12" s="171">
        <v>0</v>
      </c>
      <c r="AA12" s="172">
        <f t="shared" si="10"/>
        <v>0</v>
      </c>
      <c r="AB12" s="169"/>
      <c r="AC12" s="169"/>
      <c r="AD12" s="171">
        <f>R12+V12+Z12</f>
        <v>85</v>
      </c>
      <c r="AE12" s="175">
        <f t="shared" si="1"/>
        <v>643100000</v>
      </c>
      <c r="AF12" s="176">
        <f t="shared" si="2"/>
        <v>496648842</v>
      </c>
    </row>
    <row r="13" spans="1:32" ht="15.75" thickBot="1" x14ac:dyDescent="0.3">
      <c r="A13" s="70">
        <v>11</v>
      </c>
      <c r="B13" s="71" t="s">
        <v>6</v>
      </c>
      <c r="C13" s="72"/>
      <c r="D13" s="73">
        <f t="shared" si="3"/>
        <v>0</v>
      </c>
      <c r="E13" s="74"/>
      <c r="F13" s="75"/>
      <c r="G13" s="72">
        <v>1</v>
      </c>
      <c r="H13" s="73">
        <f t="shared" si="4"/>
        <v>1</v>
      </c>
      <c r="I13" s="74">
        <v>5000000</v>
      </c>
      <c r="J13" s="75">
        <v>4250000</v>
      </c>
      <c r="K13" s="76"/>
      <c r="L13" s="77">
        <f t="shared" si="5"/>
        <v>0</v>
      </c>
      <c r="M13" s="78"/>
      <c r="N13" s="79"/>
      <c r="O13" s="80">
        <f t="shared" si="6"/>
        <v>1</v>
      </c>
      <c r="P13" s="81">
        <f>E13+I13+K13</f>
        <v>5000000</v>
      </c>
      <c r="Q13" s="162">
        <f t="shared" si="8"/>
        <v>4250000</v>
      </c>
      <c r="R13" s="171">
        <v>15</v>
      </c>
      <c r="S13" s="172">
        <f t="shared" si="9"/>
        <v>0.7142857142857143</v>
      </c>
      <c r="T13" s="43">
        <v>238119700</v>
      </c>
      <c r="U13" s="43">
        <v>196350000</v>
      </c>
      <c r="V13" s="171">
        <v>5</v>
      </c>
      <c r="W13" s="172">
        <f>V13/AD13</f>
        <v>0.23809523809523808</v>
      </c>
      <c r="X13" s="43">
        <v>25000000</v>
      </c>
      <c r="Y13" s="43">
        <v>21250000</v>
      </c>
      <c r="Z13" s="171">
        <v>1</v>
      </c>
      <c r="AA13" s="172">
        <f t="shared" si="10"/>
        <v>4.7619047619047616E-2</v>
      </c>
      <c r="AB13" s="43">
        <v>10000000</v>
      </c>
      <c r="AC13" s="43">
        <v>8500000</v>
      </c>
      <c r="AD13" s="171">
        <f>R13+V13+Z13</f>
        <v>21</v>
      </c>
      <c r="AE13" s="175">
        <f t="shared" si="1"/>
        <v>273119700</v>
      </c>
      <c r="AF13" s="176">
        <f t="shared" si="2"/>
        <v>226100000</v>
      </c>
    </row>
    <row r="14" spans="1:32" ht="15.75" thickBot="1" x14ac:dyDescent="0.3">
      <c r="A14" s="252" t="s">
        <v>18</v>
      </c>
      <c r="B14" s="253"/>
      <c r="C14" s="126">
        <f>SUM(C3:C13)</f>
        <v>670</v>
      </c>
      <c r="D14" s="127">
        <f>C14/O14</f>
        <v>0.17871432381968524</v>
      </c>
      <c r="E14" s="128">
        <f>SUM(E3:E13)</f>
        <v>7827008927</v>
      </c>
      <c r="F14" s="129">
        <f>SUM(F3:F13)</f>
        <v>6640810237.6999998</v>
      </c>
      <c r="G14" s="126">
        <f>SUM(G3:G13)</f>
        <v>3074</v>
      </c>
      <c r="H14" s="127">
        <f>G14/O14</f>
        <v>0.8199519871965858</v>
      </c>
      <c r="I14" s="130">
        <f>SUM(I3:I13)</f>
        <v>12471363516</v>
      </c>
      <c r="J14" s="131">
        <f>SUM(J3:J13)</f>
        <v>10597636754.289997</v>
      </c>
      <c r="K14" s="132">
        <f>SUM(K3:K13)</f>
        <v>5</v>
      </c>
      <c r="L14" s="133">
        <f>K14/O14</f>
        <v>1.3336889837289945E-3</v>
      </c>
      <c r="M14" s="83">
        <f>SUM(M3:M13)</f>
        <v>35436000</v>
      </c>
      <c r="N14" s="84">
        <f>SUM(N3:N13)</f>
        <v>30120600</v>
      </c>
      <c r="O14" s="82">
        <f>C14+G14+K14</f>
        <v>3749</v>
      </c>
      <c r="P14" s="83">
        <f>E14+I14+M14</f>
        <v>20333808443</v>
      </c>
      <c r="Q14" s="163">
        <f>F14+J14+N14</f>
        <v>17268567591.989998</v>
      </c>
      <c r="R14" s="167">
        <f>SUM(R3:R13)</f>
        <v>2520</v>
      </c>
      <c r="S14" s="173">
        <f t="shared" si="9"/>
        <v>0.18683274021352314</v>
      </c>
      <c r="T14" s="170">
        <f>SUM(T3:T13)</f>
        <v>30074540656.459999</v>
      </c>
      <c r="U14" s="170">
        <f>SUM(U3:U13)</f>
        <v>25414685839.060001</v>
      </c>
      <c r="V14" s="167">
        <f>SUM(V3:V13)</f>
        <v>10959</v>
      </c>
      <c r="W14" s="173">
        <f>V14/AD14</f>
        <v>0.8125</v>
      </c>
      <c r="X14" s="170">
        <f>SUM(X3:X13)</f>
        <v>45142109338.400002</v>
      </c>
      <c r="Y14" s="170">
        <f>SUM(Y3:Y13)</f>
        <v>38358536871.550011</v>
      </c>
      <c r="Z14" s="167">
        <f>SUM(Z3:Z13)</f>
        <v>9</v>
      </c>
      <c r="AA14" s="174">
        <f t="shared" si="10"/>
        <v>6.6725978647686835E-4</v>
      </c>
      <c r="AB14" s="170">
        <f>SUM(AB3:AB13)</f>
        <v>127500000</v>
      </c>
      <c r="AC14" s="170">
        <f>SUM(AC3:AC13)</f>
        <v>99891450</v>
      </c>
      <c r="AD14" s="167">
        <f>SUM(AD3:AD13)</f>
        <v>13488</v>
      </c>
      <c r="AE14" s="164">
        <f t="shared" si="1"/>
        <v>75344149994.860001</v>
      </c>
      <c r="AF14" s="164">
        <f t="shared" si="2"/>
        <v>63873114160.610016</v>
      </c>
    </row>
    <row r="15" spans="1:32" x14ac:dyDescent="0.25">
      <c r="E15" s="48"/>
      <c r="F15" s="48"/>
      <c r="I15" s="34"/>
      <c r="J15" s="34"/>
    </row>
    <row r="17" spans="1:17" x14ac:dyDescent="0.25">
      <c r="G17" s="49"/>
      <c r="H17" s="49"/>
      <c r="I17" s="49"/>
      <c r="J17" s="49"/>
    </row>
    <row r="18" spans="1:17" ht="56.25" customHeight="1" thickBot="1" x14ac:dyDescent="0.3">
      <c r="B18" s="251" t="s">
        <v>132</v>
      </c>
      <c r="C18" s="251"/>
      <c r="D18" s="251"/>
      <c r="E18" s="251"/>
      <c r="F18" s="251"/>
      <c r="G18" s="40"/>
      <c r="H18" s="193"/>
      <c r="I18" s="40"/>
      <c r="J18" s="40"/>
      <c r="K18" s="40"/>
      <c r="L18" s="40"/>
      <c r="M18" s="40"/>
      <c r="N18" s="40"/>
      <c r="O18" s="40"/>
      <c r="P18" s="40"/>
    </row>
    <row r="19" spans="1:17" ht="57" thickBot="1" x14ac:dyDescent="0.3">
      <c r="A19" s="120" t="s">
        <v>0</v>
      </c>
      <c r="B19" s="121" t="s">
        <v>39</v>
      </c>
      <c r="C19" s="120" t="s">
        <v>50</v>
      </c>
      <c r="D19" s="122" t="s">
        <v>54</v>
      </c>
      <c r="E19" s="123" t="s">
        <v>42</v>
      </c>
      <c r="F19" s="124" t="s">
        <v>43</v>
      </c>
      <c r="G19" s="120" t="s">
        <v>51</v>
      </c>
      <c r="H19" s="122" t="s">
        <v>54</v>
      </c>
      <c r="I19" s="123" t="s">
        <v>42</v>
      </c>
      <c r="J19" s="124" t="s">
        <v>43</v>
      </c>
      <c r="K19" s="125" t="s">
        <v>52</v>
      </c>
      <c r="L19" s="123" t="s">
        <v>54</v>
      </c>
      <c r="M19" s="123" t="s">
        <v>42</v>
      </c>
      <c r="N19" s="124" t="s">
        <v>43</v>
      </c>
      <c r="O19" s="68" t="s">
        <v>53</v>
      </c>
      <c r="P19" s="69" t="s">
        <v>42</v>
      </c>
      <c r="Q19" s="159" t="s">
        <v>43</v>
      </c>
    </row>
    <row r="20" spans="1:17" x14ac:dyDescent="0.25">
      <c r="A20" s="53">
        <v>1</v>
      </c>
      <c r="B20" s="54" t="s">
        <v>5</v>
      </c>
      <c r="C20" s="42">
        <v>3324</v>
      </c>
      <c r="D20" s="50">
        <f t="shared" ref="D20:D27" si="11">C20/O20</f>
        <v>0.3645136528128084</v>
      </c>
      <c r="E20" s="43">
        <v>33288857763</v>
      </c>
      <c r="F20" s="44">
        <v>27834521619.700001</v>
      </c>
      <c r="G20" s="42">
        <v>5795</v>
      </c>
      <c r="H20" s="50">
        <f t="shared" ref="H20:H27" si="12">G20/O20</f>
        <v>0.63548634718719155</v>
      </c>
      <c r="I20" s="43">
        <v>25555210080</v>
      </c>
      <c r="J20" s="44">
        <v>21681195368</v>
      </c>
      <c r="K20" s="45">
        <v>0</v>
      </c>
      <c r="L20" s="51">
        <f t="shared" ref="L20:L22" si="13">K20/O20</f>
        <v>0</v>
      </c>
      <c r="M20" s="46">
        <v>0</v>
      </c>
      <c r="N20" s="47">
        <v>0</v>
      </c>
      <c r="O20" s="55">
        <f t="shared" ref="O20:O27" si="14">C20+G20+K20</f>
        <v>9119</v>
      </c>
      <c r="P20" s="52">
        <f t="shared" ref="P20:P26" si="15">E20+I20+K20</f>
        <v>58844067843</v>
      </c>
      <c r="Q20" s="161">
        <f t="shared" ref="Q20:Q27" si="16">F20+J20+N20</f>
        <v>49515716987.699997</v>
      </c>
    </row>
    <row r="21" spans="1:17" x14ac:dyDescent="0.25">
      <c r="A21" s="53">
        <v>2</v>
      </c>
      <c r="B21" s="54" t="s">
        <v>8</v>
      </c>
      <c r="C21" s="42">
        <v>3041</v>
      </c>
      <c r="D21" s="50">
        <f t="shared" si="11"/>
        <v>0.42794821277793416</v>
      </c>
      <c r="E21" s="43">
        <v>34525282953</v>
      </c>
      <c r="F21" s="44">
        <v>29323706764.540009</v>
      </c>
      <c r="G21" s="42">
        <v>4065</v>
      </c>
      <c r="H21" s="50">
        <f t="shared" si="12"/>
        <v>0.57205178722206584</v>
      </c>
      <c r="I21" s="43">
        <v>17636087258</v>
      </c>
      <c r="J21" s="44">
        <v>14990573798.699999</v>
      </c>
      <c r="K21" s="45">
        <v>0</v>
      </c>
      <c r="L21" s="51">
        <f t="shared" si="13"/>
        <v>0</v>
      </c>
      <c r="M21" s="46">
        <v>0</v>
      </c>
      <c r="N21" s="47">
        <v>0</v>
      </c>
      <c r="O21" s="55">
        <f t="shared" si="14"/>
        <v>7106</v>
      </c>
      <c r="P21" s="52">
        <f t="shared" si="15"/>
        <v>52161370211</v>
      </c>
      <c r="Q21" s="161">
        <f t="shared" si="16"/>
        <v>44314280563.240005</v>
      </c>
    </row>
    <row r="22" spans="1:17" x14ac:dyDescent="0.25">
      <c r="A22" s="53">
        <v>3</v>
      </c>
      <c r="B22" s="54" t="s">
        <v>10</v>
      </c>
      <c r="C22" s="42">
        <v>0</v>
      </c>
      <c r="D22" s="50" t="e">
        <f t="shared" si="11"/>
        <v>#DIV/0!</v>
      </c>
      <c r="E22" s="43">
        <v>0</v>
      </c>
      <c r="F22" s="44">
        <v>0</v>
      </c>
      <c r="G22" s="42">
        <v>0</v>
      </c>
      <c r="H22" s="50" t="e">
        <f t="shared" si="12"/>
        <v>#DIV/0!</v>
      </c>
      <c r="I22" s="43">
        <v>0</v>
      </c>
      <c r="J22" s="44">
        <v>0</v>
      </c>
      <c r="K22" s="45">
        <v>0</v>
      </c>
      <c r="L22" s="51" t="e">
        <f t="shared" si="13"/>
        <v>#DIV/0!</v>
      </c>
      <c r="M22" s="46">
        <v>0</v>
      </c>
      <c r="N22" s="47">
        <v>0</v>
      </c>
      <c r="O22" s="55">
        <f t="shared" si="14"/>
        <v>0</v>
      </c>
      <c r="P22" s="52">
        <f t="shared" si="15"/>
        <v>0</v>
      </c>
      <c r="Q22" s="161">
        <f t="shared" si="16"/>
        <v>0</v>
      </c>
    </row>
    <row r="23" spans="1:17" x14ac:dyDescent="0.25">
      <c r="A23" s="53">
        <v>4</v>
      </c>
      <c r="B23" s="54" t="s">
        <v>37</v>
      </c>
      <c r="C23" s="42">
        <v>711</v>
      </c>
      <c r="D23" s="50">
        <f t="shared" si="11"/>
        <v>0.81350114416475972</v>
      </c>
      <c r="E23" s="43">
        <v>11629483694</v>
      </c>
      <c r="F23" s="44">
        <v>9317194688.8999996</v>
      </c>
      <c r="G23" s="42">
        <v>160</v>
      </c>
      <c r="H23" s="50">
        <f t="shared" si="12"/>
        <v>0.18306636155606407</v>
      </c>
      <c r="I23" s="43">
        <v>842373000</v>
      </c>
      <c r="J23" s="43">
        <v>704157300</v>
      </c>
      <c r="K23" s="45">
        <v>3</v>
      </c>
      <c r="L23" s="51">
        <f>K23/O23</f>
        <v>3.4324942791762012E-3</v>
      </c>
      <c r="M23" s="46">
        <v>55000000</v>
      </c>
      <c r="N23" s="47">
        <v>46750000</v>
      </c>
      <c r="O23" s="55">
        <f t="shared" si="14"/>
        <v>874</v>
      </c>
      <c r="P23" s="52">
        <f>E23+I23+M23</f>
        <v>12526856694</v>
      </c>
      <c r="Q23" s="161">
        <f>F23+J23+N23</f>
        <v>10068101988.9</v>
      </c>
    </row>
    <row r="24" spans="1:17" x14ac:dyDescent="0.25">
      <c r="A24" s="53">
        <v>5</v>
      </c>
      <c r="B24" s="54" t="s">
        <v>9</v>
      </c>
      <c r="C24" s="42">
        <v>53</v>
      </c>
      <c r="D24" s="50">
        <f t="shared" si="11"/>
        <v>0.81538461538461537</v>
      </c>
      <c r="E24" s="43">
        <v>774924400</v>
      </c>
      <c r="F24" s="44">
        <v>565791077</v>
      </c>
      <c r="G24" s="42">
        <v>11</v>
      </c>
      <c r="H24" s="50">
        <f t="shared" si="12"/>
        <v>0.16923076923076924</v>
      </c>
      <c r="I24" s="43">
        <v>120000000</v>
      </c>
      <c r="J24" s="44">
        <v>91500000</v>
      </c>
      <c r="K24" s="45">
        <v>1</v>
      </c>
      <c r="L24" s="51">
        <f t="shared" ref="L24:L27" si="17">K24/O24</f>
        <v>1.5384615384615385E-2</v>
      </c>
      <c r="M24" s="46">
        <v>18000000</v>
      </c>
      <c r="N24" s="47">
        <v>15300000</v>
      </c>
      <c r="O24" s="55">
        <f t="shared" si="14"/>
        <v>65</v>
      </c>
      <c r="P24" s="52">
        <f>E24+I24+M24</f>
        <v>912924400</v>
      </c>
      <c r="Q24" s="161">
        <f t="shared" si="16"/>
        <v>672591077</v>
      </c>
    </row>
    <row r="25" spans="1:17" x14ac:dyDescent="0.25">
      <c r="A25" s="53">
        <v>6</v>
      </c>
      <c r="B25" s="54" t="s">
        <v>7</v>
      </c>
      <c r="C25" s="42">
        <v>110</v>
      </c>
      <c r="D25" s="50">
        <f t="shared" si="11"/>
        <v>0.45833333333333331</v>
      </c>
      <c r="E25" s="43">
        <v>1111690116</v>
      </c>
      <c r="F25" s="44">
        <v>944936599</v>
      </c>
      <c r="G25" s="42">
        <v>130</v>
      </c>
      <c r="H25" s="50">
        <f t="shared" si="12"/>
        <v>0.54166666666666663</v>
      </c>
      <c r="I25" s="43">
        <v>658737725</v>
      </c>
      <c r="J25" s="44">
        <v>559747066.25</v>
      </c>
      <c r="K25" s="45">
        <v>0</v>
      </c>
      <c r="L25" s="51">
        <f t="shared" si="17"/>
        <v>0</v>
      </c>
      <c r="M25" s="46">
        <v>0</v>
      </c>
      <c r="N25" s="47">
        <v>0</v>
      </c>
      <c r="O25" s="55">
        <f t="shared" si="14"/>
        <v>240</v>
      </c>
      <c r="P25" s="52">
        <f>E25+I25+K25</f>
        <v>1770427841</v>
      </c>
      <c r="Q25" s="161">
        <f t="shared" si="16"/>
        <v>1504683665.25</v>
      </c>
    </row>
    <row r="26" spans="1:17" x14ac:dyDescent="0.25">
      <c r="A26" s="53">
        <v>7</v>
      </c>
      <c r="B26" s="54" t="s">
        <v>47</v>
      </c>
      <c r="C26" s="42">
        <v>216</v>
      </c>
      <c r="D26" s="50">
        <f t="shared" si="11"/>
        <v>0.80297397769516732</v>
      </c>
      <c r="E26" s="43">
        <v>3188101000</v>
      </c>
      <c r="F26" s="44">
        <v>2679742950</v>
      </c>
      <c r="G26" s="42">
        <v>53</v>
      </c>
      <c r="H26" s="50">
        <f t="shared" si="12"/>
        <v>0.19702602230483271</v>
      </c>
      <c r="I26" s="74">
        <v>268950000</v>
      </c>
      <c r="J26" s="74">
        <v>228590250</v>
      </c>
      <c r="K26" s="45">
        <v>0</v>
      </c>
      <c r="L26" s="51">
        <f t="shared" si="17"/>
        <v>0</v>
      </c>
      <c r="M26" s="46">
        <v>0</v>
      </c>
      <c r="N26" s="47">
        <v>0</v>
      </c>
      <c r="O26" s="55">
        <f t="shared" si="14"/>
        <v>269</v>
      </c>
      <c r="P26" s="52">
        <f t="shared" si="15"/>
        <v>3457051000</v>
      </c>
      <c r="Q26" s="161">
        <f t="shared" si="16"/>
        <v>2908333200</v>
      </c>
    </row>
    <row r="27" spans="1:17" ht="15.75" thickBot="1" x14ac:dyDescent="0.3">
      <c r="A27" s="70">
        <v>8</v>
      </c>
      <c r="B27" s="71" t="s">
        <v>130</v>
      </c>
      <c r="C27" s="72">
        <v>4</v>
      </c>
      <c r="D27" s="73">
        <f t="shared" si="11"/>
        <v>0.8</v>
      </c>
      <c r="E27" s="74">
        <v>80000000</v>
      </c>
      <c r="F27" s="75">
        <v>68000000</v>
      </c>
      <c r="G27" s="72">
        <v>1</v>
      </c>
      <c r="H27" s="73">
        <f t="shared" si="12"/>
        <v>0.2</v>
      </c>
      <c r="I27" s="74">
        <v>5000000</v>
      </c>
      <c r="J27" s="75">
        <v>4250000</v>
      </c>
      <c r="K27" s="76">
        <v>0</v>
      </c>
      <c r="L27" s="77">
        <f t="shared" si="17"/>
        <v>0</v>
      </c>
      <c r="M27" s="78">
        <v>0</v>
      </c>
      <c r="N27" s="79">
        <v>0</v>
      </c>
      <c r="O27" s="80">
        <f t="shared" si="14"/>
        <v>5</v>
      </c>
      <c r="P27" s="81">
        <f>E27+I27+K27</f>
        <v>85000000</v>
      </c>
      <c r="Q27" s="162">
        <f t="shared" si="16"/>
        <v>72250000</v>
      </c>
    </row>
    <row r="28" spans="1:17" ht="15.75" thickBot="1" x14ac:dyDescent="0.3">
      <c r="A28" s="252" t="s">
        <v>18</v>
      </c>
      <c r="B28" s="253"/>
      <c r="C28" s="194">
        <f>SUM(C20:C27)</f>
        <v>7459</v>
      </c>
      <c r="D28" s="127">
        <f>C28/O28</f>
        <v>0.42193687068672925</v>
      </c>
      <c r="E28" s="128">
        <f>SUM(E20:E27)</f>
        <v>84598339926</v>
      </c>
      <c r="F28" s="129">
        <f>SUM(F20:F27)</f>
        <v>70733893699.140015</v>
      </c>
      <c r="G28" s="194">
        <f>SUM(G20:G27)</f>
        <v>10215</v>
      </c>
      <c r="H28" s="127">
        <f>G28/O28</f>
        <v>0.57783685937323226</v>
      </c>
      <c r="I28" s="130">
        <f>SUM(I20:I27)</f>
        <v>45086358063</v>
      </c>
      <c r="J28" s="131">
        <f>SUM(J20:J27)</f>
        <v>38260013782.949997</v>
      </c>
      <c r="K28" s="132">
        <f>SUM(K20:K27)</f>
        <v>4</v>
      </c>
      <c r="L28" s="133">
        <f>K28/O28</f>
        <v>2.2626994003846588E-4</v>
      </c>
      <c r="M28" s="83">
        <f>SUM(M20:M27)</f>
        <v>73000000</v>
      </c>
      <c r="N28" s="84">
        <f>SUM(N20:N27)</f>
        <v>62050000</v>
      </c>
      <c r="O28" s="82">
        <f>C28+G28+K28</f>
        <v>17678</v>
      </c>
      <c r="P28" s="83">
        <f>E28+I28+M28</f>
        <v>129757697989</v>
      </c>
      <c r="Q28" s="163">
        <f>F28+J28+N28</f>
        <v>109055957482.09001</v>
      </c>
    </row>
    <row r="31" spans="1:17" x14ac:dyDescent="0.25">
      <c r="L31" s="29" t="s">
        <v>83</v>
      </c>
    </row>
    <row r="32" spans="1:17" ht="56.25" customHeight="1" thickBot="1" x14ac:dyDescent="0.3">
      <c r="B32" s="251" t="s">
        <v>147</v>
      </c>
      <c r="C32" s="251"/>
      <c r="D32" s="251"/>
      <c r="E32" s="251"/>
      <c r="F32" s="251"/>
      <c r="G32" s="40"/>
      <c r="H32" s="236"/>
      <c r="I32" s="40"/>
      <c r="J32" s="40"/>
      <c r="K32" s="40"/>
      <c r="L32" s="40"/>
      <c r="M32" s="40"/>
      <c r="N32" s="40"/>
      <c r="O32" s="40"/>
      <c r="P32" s="40"/>
    </row>
    <row r="33" spans="1:17" ht="57" thickBot="1" x14ac:dyDescent="0.3">
      <c r="A33" s="120" t="s">
        <v>0</v>
      </c>
      <c r="B33" s="121" t="s">
        <v>39</v>
      </c>
      <c r="C33" s="120" t="s">
        <v>50</v>
      </c>
      <c r="D33" s="122" t="s">
        <v>54</v>
      </c>
      <c r="E33" s="123" t="s">
        <v>42</v>
      </c>
      <c r="F33" s="124" t="s">
        <v>43</v>
      </c>
      <c r="G33" s="120" t="s">
        <v>51</v>
      </c>
      <c r="H33" s="122" t="s">
        <v>54</v>
      </c>
      <c r="I33" s="123" t="s">
        <v>42</v>
      </c>
      <c r="J33" s="124" t="s">
        <v>43</v>
      </c>
      <c r="K33" s="125" t="s">
        <v>52</v>
      </c>
      <c r="L33" s="123" t="s">
        <v>54</v>
      </c>
      <c r="M33" s="123" t="s">
        <v>42</v>
      </c>
      <c r="N33" s="124" t="s">
        <v>43</v>
      </c>
      <c r="O33" s="68" t="s">
        <v>53</v>
      </c>
      <c r="P33" s="69" t="s">
        <v>42</v>
      </c>
      <c r="Q33" s="159" t="s">
        <v>43</v>
      </c>
    </row>
    <row r="34" spans="1:17" x14ac:dyDescent="0.25">
      <c r="A34" s="53">
        <v>1</v>
      </c>
      <c r="B34" s="54" t="s">
        <v>5</v>
      </c>
      <c r="C34" s="42">
        <v>1480</v>
      </c>
      <c r="D34" s="50">
        <f t="shared" ref="D34:D41" si="18">C34/O34</f>
        <v>0.57120802778849866</v>
      </c>
      <c r="E34" s="43">
        <v>13337485000</v>
      </c>
      <c r="F34" s="44">
        <v>11336862250</v>
      </c>
      <c r="G34" s="42">
        <v>1111</v>
      </c>
      <c r="H34" s="50">
        <f t="shared" ref="H34:H41" si="19">G34/O34</f>
        <v>0.42879197221150134</v>
      </c>
      <c r="I34" s="43">
        <v>4753983000</v>
      </c>
      <c r="J34" s="44">
        <v>4040885550</v>
      </c>
      <c r="K34" s="45">
        <v>0</v>
      </c>
      <c r="L34" s="51">
        <f t="shared" ref="L34:L36" si="20">K34/O34</f>
        <v>0</v>
      </c>
      <c r="M34" s="46">
        <v>0</v>
      </c>
      <c r="N34" s="47">
        <v>0</v>
      </c>
      <c r="O34" s="55">
        <f t="shared" ref="O34:O41" si="21">C34+G34+K34</f>
        <v>2591</v>
      </c>
      <c r="P34" s="52">
        <f t="shared" ref="P34:P36" si="22">E34+I34+K34</f>
        <v>18091468000</v>
      </c>
      <c r="Q34" s="161">
        <f t="shared" ref="Q34:Q36" si="23">F34+J34+N34</f>
        <v>15377747800</v>
      </c>
    </row>
    <row r="35" spans="1:17" x14ac:dyDescent="0.25">
      <c r="A35" s="53">
        <v>2</v>
      </c>
      <c r="B35" s="54" t="s">
        <v>8</v>
      </c>
      <c r="C35" s="42">
        <v>209</v>
      </c>
      <c r="D35" s="50">
        <f t="shared" si="18"/>
        <v>0.7359154929577465</v>
      </c>
      <c r="E35" s="43">
        <v>2994656000</v>
      </c>
      <c r="F35" s="44">
        <v>2545457600</v>
      </c>
      <c r="G35" s="42">
        <v>75</v>
      </c>
      <c r="H35" s="50">
        <f t="shared" si="19"/>
        <v>0.2640845070422535</v>
      </c>
      <c r="I35" s="43">
        <v>275960000</v>
      </c>
      <c r="J35" s="44">
        <v>234566000</v>
      </c>
      <c r="K35" s="45">
        <v>0</v>
      </c>
      <c r="L35" s="51">
        <f t="shared" si="20"/>
        <v>0</v>
      </c>
      <c r="M35" s="46">
        <v>0</v>
      </c>
      <c r="N35" s="47">
        <v>0</v>
      </c>
      <c r="O35" s="55">
        <f t="shared" si="21"/>
        <v>284</v>
      </c>
      <c r="P35" s="52">
        <f t="shared" si="22"/>
        <v>3270616000</v>
      </c>
      <c r="Q35" s="161">
        <f t="shared" si="23"/>
        <v>2780023600</v>
      </c>
    </row>
    <row r="36" spans="1:17" x14ac:dyDescent="0.25">
      <c r="A36" s="53">
        <v>3</v>
      </c>
      <c r="B36" s="54" t="s">
        <v>10</v>
      </c>
      <c r="C36" s="42"/>
      <c r="D36" s="50" t="e">
        <f t="shared" si="18"/>
        <v>#DIV/0!</v>
      </c>
      <c r="E36" s="43"/>
      <c r="F36" s="44"/>
      <c r="G36" s="42"/>
      <c r="H36" s="50" t="e">
        <f t="shared" si="19"/>
        <v>#DIV/0!</v>
      </c>
      <c r="I36" s="43"/>
      <c r="J36" s="44"/>
      <c r="K36" s="45">
        <v>0</v>
      </c>
      <c r="L36" s="51" t="e">
        <f t="shared" si="20"/>
        <v>#DIV/0!</v>
      </c>
      <c r="M36" s="46">
        <v>0</v>
      </c>
      <c r="N36" s="47">
        <v>0</v>
      </c>
      <c r="O36" s="55">
        <f t="shared" si="21"/>
        <v>0</v>
      </c>
      <c r="P36" s="52">
        <f t="shared" si="22"/>
        <v>0</v>
      </c>
      <c r="Q36" s="161">
        <f t="shared" si="23"/>
        <v>0</v>
      </c>
    </row>
    <row r="37" spans="1:17" x14ac:dyDescent="0.25">
      <c r="A37" s="53">
        <v>4</v>
      </c>
      <c r="B37" s="54" t="s">
        <v>37</v>
      </c>
      <c r="C37" s="42">
        <v>104</v>
      </c>
      <c r="D37" s="50">
        <f t="shared" si="18"/>
        <v>0.62650602409638556</v>
      </c>
      <c r="E37" s="43">
        <v>1743853093</v>
      </c>
      <c r="F37" s="44">
        <v>1432869629</v>
      </c>
      <c r="G37" s="42">
        <v>62</v>
      </c>
      <c r="H37" s="50">
        <f t="shared" si="19"/>
        <v>0.37349397590361444</v>
      </c>
      <c r="I37" s="43">
        <v>127055000</v>
      </c>
      <c r="J37" s="43">
        <v>107996750</v>
      </c>
      <c r="K37" s="45"/>
      <c r="L37" s="51">
        <f>K37/O37</f>
        <v>0</v>
      </c>
      <c r="M37" s="46"/>
      <c r="N37" s="47"/>
      <c r="O37" s="55">
        <f t="shared" si="21"/>
        <v>166</v>
      </c>
      <c r="P37" s="52">
        <f>E37+I37+M37</f>
        <v>1870908093</v>
      </c>
      <c r="Q37" s="161">
        <f>F37+J37+N37</f>
        <v>1540866379</v>
      </c>
    </row>
    <row r="38" spans="1:17" x14ac:dyDescent="0.25">
      <c r="A38" s="53">
        <v>5</v>
      </c>
      <c r="B38" s="54" t="s">
        <v>9</v>
      </c>
      <c r="C38" s="42">
        <v>9</v>
      </c>
      <c r="D38" s="50">
        <f t="shared" si="18"/>
        <v>0.9</v>
      </c>
      <c r="E38" s="43">
        <v>160000000</v>
      </c>
      <c r="F38" s="44">
        <v>121347895</v>
      </c>
      <c r="G38" s="42">
        <v>1</v>
      </c>
      <c r="H38" s="50">
        <f t="shared" si="19"/>
        <v>0.1</v>
      </c>
      <c r="I38" s="43">
        <v>5000000</v>
      </c>
      <c r="J38" s="44">
        <v>4250000</v>
      </c>
      <c r="K38" s="45"/>
      <c r="L38" s="51">
        <f t="shared" ref="L38:L41" si="24">K38/O38</f>
        <v>0</v>
      </c>
      <c r="M38" s="46"/>
      <c r="N38" s="47"/>
      <c r="O38" s="55">
        <f t="shared" si="21"/>
        <v>10</v>
      </c>
      <c r="P38" s="52">
        <f>E38+I38+M38</f>
        <v>165000000</v>
      </c>
      <c r="Q38" s="161">
        <f t="shared" ref="Q38:Q41" si="25">F38+J38+N38</f>
        <v>125597895</v>
      </c>
    </row>
    <row r="39" spans="1:17" x14ac:dyDescent="0.25">
      <c r="A39" s="53">
        <v>6</v>
      </c>
      <c r="B39" s="54" t="s">
        <v>7</v>
      </c>
      <c r="C39" s="42">
        <v>77</v>
      </c>
      <c r="D39" s="50">
        <f t="shared" si="18"/>
        <v>0.90588235294117647</v>
      </c>
      <c r="E39" s="43">
        <v>1175135300</v>
      </c>
      <c r="F39" s="44">
        <v>998865005</v>
      </c>
      <c r="G39" s="42">
        <v>8</v>
      </c>
      <c r="H39" s="50">
        <f t="shared" si="19"/>
        <v>9.4117647058823528E-2</v>
      </c>
      <c r="I39" s="43">
        <v>34900000</v>
      </c>
      <c r="J39" s="44">
        <v>29665000</v>
      </c>
      <c r="K39" s="45">
        <v>0</v>
      </c>
      <c r="L39" s="51">
        <f t="shared" si="24"/>
        <v>0</v>
      </c>
      <c r="M39" s="46">
        <v>0</v>
      </c>
      <c r="N39" s="47">
        <v>0</v>
      </c>
      <c r="O39" s="55">
        <f t="shared" si="21"/>
        <v>85</v>
      </c>
      <c r="P39" s="52">
        <f>E39+I39+K39</f>
        <v>1210035300</v>
      </c>
      <c r="Q39" s="161">
        <f t="shared" si="25"/>
        <v>1028530005</v>
      </c>
    </row>
    <row r="40" spans="1:17" x14ac:dyDescent="0.25">
      <c r="A40" s="53">
        <v>7</v>
      </c>
      <c r="B40" s="54" t="s">
        <v>47</v>
      </c>
      <c r="C40" s="42"/>
      <c r="D40" s="50" t="e">
        <f t="shared" si="18"/>
        <v>#DIV/0!</v>
      </c>
      <c r="E40" s="43"/>
      <c r="F40" s="44"/>
      <c r="G40" s="42"/>
      <c r="H40" s="50" t="e">
        <f t="shared" si="19"/>
        <v>#DIV/0!</v>
      </c>
      <c r="I40" s="74"/>
      <c r="J40" s="74"/>
      <c r="K40" s="45">
        <v>0</v>
      </c>
      <c r="L40" s="51" t="e">
        <f t="shared" si="24"/>
        <v>#DIV/0!</v>
      </c>
      <c r="M40" s="46">
        <v>0</v>
      </c>
      <c r="N40" s="47">
        <v>0</v>
      </c>
      <c r="O40" s="55">
        <f t="shared" si="21"/>
        <v>0</v>
      </c>
      <c r="P40" s="52">
        <f t="shared" ref="P40" si="26">E40+I40+K40</f>
        <v>0</v>
      </c>
      <c r="Q40" s="161">
        <f t="shared" si="25"/>
        <v>0</v>
      </c>
    </row>
    <row r="41" spans="1:17" ht="15.75" thickBot="1" x14ac:dyDescent="0.3">
      <c r="A41" s="70">
        <v>8</v>
      </c>
      <c r="B41" s="71" t="s">
        <v>130</v>
      </c>
      <c r="C41" s="72">
        <v>355</v>
      </c>
      <c r="D41" s="73">
        <f t="shared" si="18"/>
        <v>0.79596412556053808</v>
      </c>
      <c r="E41" s="74">
        <v>5777600000</v>
      </c>
      <c r="F41" s="75">
        <v>4910960000</v>
      </c>
      <c r="G41" s="72">
        <v>91</v>
      </c>
      <c r="H41" s="73">
        <f t="shared" si="19"/>
        <v>0.20403587443946189</v>
      </c>
      <c r="I41" s="74">
        <v>414457800</v>
      </c>
      <c r="J41" s="75">
        <v>352289130</v>
      </c>
      <c r="K41" s="76">
        <v>0</v>
      </c>
      <c r="L41" s="77">
        <f t="shared" si="24"/>
        <v>0</v>
      </c>
      <c r="M41" s="78">
        <v>0</v>
      </c>
      <c r="N41" s="79">
        <v>0</v>
      </c>
      <c r="O41" s="80">
        <f t="shared" si="21"/>
        <v>446</v>
      </c>
      <c r="P41" s="81">
        <f>E41+I41+K41</f>
        <v>6192057800</v>
      </c>
      <c r="Q41" s="162">
        <f t="shared" si="25"/>
        <v>5263249130</v>
      </c>
    </row>
    <row r="42" spans="1:17" ht="15.75" thickBot="1" x14ac:dyDescent="0.3">
      <c r="A42" s="252" t="s">
        <v>18</v>
      </c>
      <c r="B42" s="253"/>
      <c r="C42" s="237">
        <f>SUM(C34:C41)</f>
        <v>2234</v>
      </c>
      <c r="D42" s="127">
        <f>C42/O42</f>
        <v>0.62367392518146292</v>
      </c>
      <c r="E42" s="128">
        <f>SUM(E34:E41)</f>
        <v>25188729393</v>
      </c>
      <c r="F42" s="129">
        <f>SUM(F34:F41)</f>
        <v>21346362379</v>
      </c>
      <c r="G42" s="237">
        <f>SUM(G34:G41)</f>
        <v>1348</v>
      </c>
      <c r="H42" s="127">
        <f>G42/O42</f>
        <v>0.37632607481853714</v>
      </c>
      <c r="I42" s="130">
        <f>SUM(I34:I41)</f>
        <v>5611355800</v>
      </c>
      <c r="J42" s="131">
        <f>SUM(J34:J41)</f>
        <v>4769652430</v>
      </c>
      <c r="K42" s="132">
        <f>SUM(K34:K41)</f>
        <v>0</v>
      </c>
      <c r="L42" s="133">
        <f>K42/O42</f>
        <v>0</v>
      </c>
      <c r="M42" s="83">
        <f>SUM(M34:M41)</f>
        <v>0</v>
      </c>
      <c r="N42" s="84">
        <f>SUM(N34:N41)</f>
        <v>0</v>
      </c>
      <c r="O42" s="82">
        <f>C42+G42+K42</f>
        <v>3582</v>
      </c>
      <c r="P42" s="83">
        <f>E42+I42+M42</f>
        <v>30800085193</v>
      </c>
      <c r="Q42" s="163">
        <f>F42+J42+N42</f>
        <v>26116014809</v>
      </c>
    </row>
  </sheetData>
  <mergeCells count="7">
    <mergeCell ref="B32:F32"/>
    <mergeCell ref="A42:B42"/>
    <mergeCell ref="B1:G1"/>
    <mergeCell ref="A14:B14"/>
    <mergeCell ref="R1:AE1"/>
    <mergeCell ref="A28:B28"/>
    <mergeCell ref="B18:F18"/>
  </mergeCells>
  <pageMargins left="0.7" right="0.7" top="0.75" bottom="0.75" header="0.3" footer="0.3"/>
  <pageSetup paperSize="9" scale="3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1"/>
  <sheetViews>
    <sheetView topLeftCell="N1" zoomScaleNormal="100" zoomScaleSheetLayoutView="100" workbookViewId="0">
      <selection activeCell="P19" sqref="P19"/>
    </sheetView>
  </sheetViews>
  <sheetFormatPr defaultRowHeight="13.5" customHeight="1" x14ac:dyDescent="0.25"/>
  <cols>
    <col min="1" max="1" width="2.42578125" customWidth="1"/>
    <col min="2" max="2" width="4.85546875" style="39" customWidth="1"/>
    <col min="3" max="3" width="34.7109375" customWidth="1"/>
    <col min="4" max="4" width="8.140625" style="39" bestFit="1" customWidth="1"/>
    <col min="5" max="5" width="22.28515625" style="39" customWidth="1"/>
    <col min="6" max="6" width="24" style="39" customWidth="1"/>
    <col min="7" max="7" width="4.7109375" customWidth="1"/>
    <col min="8" max="8" width="4.28515625" customWidth="1"/>
    <col min="9" max="9" width="36.7109375" customWidth="1"/>
    <col min="11" max="11" width="24.85546875" customWidth="1"/>
    <col min="12" max="12" width="23.5703125" customWidth="1"/>
    <col min="13" max="13" width="5" style="155" customWidth="1"/>
    <col min="14" max="14" width="11" style="155" customWidth="1"/>
    <col min="15" max="15" width="34.85546875" style="155" customWidth="1"/>
    <col min="16" max="16" width="13.42578125" style="155" customWidth="1"/>
    <col min="17" max="18" width="22.85546875" style="155" customWidth="1"/>
    <col min="19" max="19" width="5" style="155" customWidth="1"/>
    <col min="20" max="20" width="15" hidden="1" customWidth="1"/>
    <col min="21" max="21" width="22.42578125" hidden="1" customWidth="1"/>
    <col min="22" max="22" width="23.42578125" hidden="1" customWidth="1"/>
  </cols>
  <sheetData>
    <row r="2" spans="2:22" ht="47.25" customHeight="1" thickBot="1" x14ac:dyDescent="0.3">
      <c r="C2" s="250" t="s">
        <v>48</v>
      </c>
      <c r="D2" s="250"/>
      <c r="E2" s="250"/>
      <c r="F2" s="250"/>
      <c r="I2" s="254" t="s">
        <v>87</v>
      </c>
      <c r="J2" s="254"/>
      <c r="K2" s="254"/>
      <c r="L2" s="254"/>
      <c r="M2" s="151"/>
      <c r="N2"/>
      <c r="O2" s="254" t="s">
        <v>147</v>
      </c>
      <c r="P2" s="254"/>
      <c r="Q2" s="254"/>
      <c r="R2" s="254"/>
      <c r="S2" s="182"/>
      <c r="T2" s="255" t="s">
        <v>93</v>
      </c>
      <c r="U2" s="255"/>
      <c r="V2" s="255"/>
    </row>
    <row r="3" spans="2:22" ht="13.5" customHeight="1" x14ac:dyDescent="0.25">
      <c r="B3" s="93" t="s">
        <v>0</v>
      </c>
      <c r="C3" s="93" t="s">
        <v>49</v>
      </c>
      <c r="D3" s="93" t="s">
        <v>16</v>
      </c>
      <c r="E3" s="94" t="s">
        <v>42</v>
      </c>
      <c r="F3" s="94" t="s">
        <v>43</v>
      </c>
      <c r="H3" s="93" t="s">
        <v>0</v>
      </c>
      <c r="I3" s="93" t="s">
        <v>49</v>
      </c>
      <c r="J3" s="93" t="s">
        <v>16</v>
      </c>
      <c r="K3" s="94" t="s">
        <v>42</v>
      </c>
      <c r="L3" s="94" t="s">
        <v>43</v>
      </c>
      <c r="M3" s="8"/>
      <c r="N3" s="93" t="s">
        <v>0</v>
      </c>
      <c r="O3" s="93" t="s">
        <v>83</v>
      </c>
      <c r="P3" s="93" t="s">
        <v>16</v>
      </c>
      <c r="Q3" s="94" t="s">
        <v>42</v>
      </c>
      <c r="R3" s="94" t="s">
        <v>43</v>
      </c>
      <c r="S3" s="8"/>
      <c r="T3" s="157" t="s">
        <v>84</v>
      </c>
      <c r="U3" s="114" t="s">
        <v>42</v>
      </c>
      <c r="V3" s="97" t="s">
        <v>43</v>
      </c>
    </row>
    <row r="4" spans="2:22" ht="13.5" customHeight="1" x14ac:dyDescent="0.25">
      <c r="B4" s="35">
        <v>1</v>
      </c>
      <c r="C4" s="37" t="s">
        <v>62</v>
      </c>
      <c r="D4" s="12">
        <v>98</v>
      </c>
      <c r="E4" s="13">
        <v>463545868</v>
      </c>
      <c r="F4" s="13">
        <v>394013987.75</v>
      </c>
      <c r="H4" s="35">
        <v>1</v>
      </c>
      <c r="I4" s="37" t="s">
        <v>62</v>
      </c>
      <c r="J4" s="12">
        <v>732</v>
      </c>
      <c r="K4" s="13">
        <v>3453445809</v>
      </c>
      <c r="L4" s="13">
        <v>2935428937.75</v>
      </c>
      <c r="M4" s="152"/>
      <c r="N4" s="35">
        <v>1</v>
      </c>
      <c r="O4" s="37" t="s">
        <v>62</v>
      </c>
      <c r="P4" s="12">
        <v>111</v>
      </c>
      <c r="Q4" s="13">
        <v>797870000</v>
      </c>
      <c r="R4" s="13">
        <v>678189500</v>
      </c>
      <c r="S4" s="152"/>
      <c r="T4" s="12">
        <f>D4+J4+P4</f>
        <v>941</v>
      </c>
      <c r="U4" s="13">
        <f>E4+K4+Q4</f>
        <v>4714861677</v>
      </c>
      <c r="V4" s="13">
        <f>F4+L4+R4</f>
        <v>4007632425.5</v>
      </c>
    </row>
    <row r="5" spans="2:22" ht="13.5" customHeight="1" x14ac:dyDescent="0.25">
      <c r="B5" s="35">
        <v>2</v>
      </c>
      <c r="C5" s="37" t="s">
        <v>63</v>
      </c>
      <c r="D5" s="12">
        <v>255</v>
      </c>
      <c r="E5" s="13">
        <v>1342966623</v>
      </c>
      <c r="F5" s="13">
        <v>1141521538.5999999</v>
      </c>
      <c r="H5" s="35">
        <v>2</v>
      </c>
      <c r="I5" s="37" t="s">
        <v>63</v>
      </c>
      <c r="J5" s="12">
        <v>762</v>
      </c>
      <c r="K5" s="13">
        <v>4497639709.46</v>
      </c>
      <c r="L5" s="13">
        <v>3809951102.6899996</v>
      </c>
      <c r="M5" s="152"/>
      <c r="N5" s="35">
        <v>2</v>
      </c>
      <c r="O5" s="37" t="s">
        <v>63</v>
      </c>
      <c r="P5" s="12">
        <v>405</v>
      </c>
      <c r="Q5" s="13">
        <v>3462046000</v>
      </c>
      <c r="R5" s="13">
        <v>2939883495</v>
      </c>
      <c r="S5" s="152"/>
      <c r="T5" s="12">
        <f t="shared" ref="T5:T10" si="0">D5+J5+P5</f>
        <v>1422</v>
      </c>
      <c r="U5" s="13">
        <f>E5+K5+Q5</f>
        <v>9302652332.4599991</v>
      </c>
      <c r="V5" s="13">
        <f>F5+L5+R5</f>
        <v>7891356136.289999</v>
      </c>
    </row>
    <row r="6" spans="2:22" ht="13.5" customHeight="1" x14ac:dyDescent="0.25">
      <c r="B6" s="35">
        <v>3</v>
      </c>
      <c r="C6" s="37" t="s">
        <v>65</v>
      </c>
      <c r="D6" s="12">
        <v>100</v>
      </c>
      <c r="E6" s="13">
        <v>677135015</v>
      </c>
      <c r="F6" s="13">
        <v>575564762.75</v>
      </c>
      <c r="H6" s="35">
        <v>3</v>
      </c>
      <c r="I6" s="37" t="s">
        <v>65</v>
      </c>
      <c r="J6" s="12">
        <v>460</v>
      </c>
      <c r="K6" s="13">
        <v>4009385223</v>
      </c>
      <c r="L6" s="13">
        <v>3392413039.3000002</v>
      </c>
      <c r="M6" s="152"/>
      <c r="N6" s="35">
        <v>3</v>
      </c>
      <c r="O6" s="37" t="s">
        <v>65</v>
      </c>
      <c r="P6" s="12">
        <v>149</v>
      </c>
      <c r="Q6" s="13">
        <v>1308451000</v>
      </c>
      <c r="R6" s="13">
        <v>1112183350</v>
      </c>
      <c r="S6" s="152"/>
      <c r="T6" s="12">
        <f t="shared" si="0"/>
        <v>709</v>
      </c>
      <c r="U6" s="13">
        <f t="shared" ref="U6:U10" si="1">E6+K6+Q6</f>
        <v>5994971238</v>
      </c>
      <c r="V6" s="13">
        <f t="shared" ref="V6:V10" si="2">F6+L6+R6</f>
        <v>5080161152.0500002</v>
      </c>
    </row>
    <row r="7" spans="2:22" ht="13.5" customHeight="1" x14ac:dyDescent="0.25">
      <c r="B7" s="35">
        <v>4</v>
      </c>
      <c r="C7" s="37" t="s">
        <v>66</v>
      </c>
      <c r="D7" s="12">
        <v>2142</v>
      </c>
      <c r="E7" s="13">
        <v>9894794158</v>
      </c>
      <c r="F7" s="13">
        <v>8409252790.9400005</v>
      </c>
      <c r="H7" s="35">
        <v>4</v>
      </c>
      <c r="I7" s="37" t="s">
        <v>66</v>
      </c>
      <c r="J7" s="12">
        <v>7618</v>
      </c>
      <c r="K7" s="13">
        <v>35376221975.399994</v>
      </c>
      <c r="L7" s="13">
        <v>30014314478.059971</v>
      </c>
      <c r="M7" s="152"/>
      <c r="N7" s="35">
        <v>4</v>
      </c>
      <c r="O7" s="37" t="s">
        <v>66</v>
      </c>
      <c r="P7" s="12">
        <v>1304</v>
      </c>
      <c r="Q7" s="13">
        <v>8654308693</v>
      </c>
      <c r="R7" s="13">
        <v>7337968889</v>
      </c>
      <c r="S7" s="152"/>
      <c r="T7" s="12">
        <f t="shared" si="0"/>
        <v>11064</v>
      </c>
      <c r="U7" s="13">
        <f t="shared" si="1"/>
        <v>53925324826.399994</v>
      </c>
      <c r="V7" s="13">
        <f t="shared" si="2"/>
        <v>45761536157.999969</v>
      </c>
    </row>
    <row r="8" spans="2:22" ht="13.5" customHeight="1" x14ac:dyDescent="0.25">
      <c r="B8" s="35">
        <v>5</v>
      </c>
      <c r="C8" s="37" t="s">
        <v>67</v>
      </c>
      <c r="D8" s="12">
        <v>282</v>
      </c>
      <c r="E8" s="13">
        <v>2548067725</v>
      </c>
      <c r="F8" s="13">
        <v>2165857566.75</v>
      </c>
      <c r="H8" s="35">
        <v>5</v>
      </c>
      <c r="I8" s="37" t="s">
        <v>67</v>
      </c>
      <c r="J8" s="12">
        <v>1027</v>
      </c>
      <c r="K8" s="13">
        <v>9351792877</v>
      </c>
      <c r="L8" s="13">
        <v>7909787682.4000006</v>
      </c>
      <c r="M8" s="152"/>
      <c r="N8" s="35">
        <v>5</v>
      </c>
      <c r="O8" s="37" t="s">
        <v>67</v>
      </c>
      <c r="P8" s="12">
        <v>490</v>
      </c>
      <c r="Q8" s="13">
        <v>5804352800</v>
      </c>
      <c r="R8" s="13">
        <v>4916236380</v>
      </c>
      <c r="S8" s="152"/>
      <c r="T8" s="12">
        <f t="shared" si="0"/>
        <v>1799</v>
      </c>
      <c r="U8" s="13">
        <f t="shared" si="1"/>
        <v>17704213402</v>
      </c>
      <c r="V8" s="13">
        <f t="shared" si="2"/>
        <v>14991881629.150002</v>
      </c>
    </row>
    <row r="9" spans="2:22" ht="13.5" customHeight="1" x14ac:dyDescent="0.25">
      <c r="B9" s="35">
        <v>6</v>
      </c>
      <c r="C9" s="38" t="s">
        <v>68</v>
      </c>
      <c r="D9" s="12">
        <v>102</v>
      </c>
      <c r="E9" s="13">
        <v>542311084</v>
      </c>
      <c r="F9" s="13">
        <v>455829669.69999993</v>
      </c>
      <c r="H9" s="35">
        <v>6</v>
      </c>
      <c r="I9" s="38" t="s">
        <v>68</v>
      </c>
      <c r="J9" s="12">
        <v>407</v>
      </c>
      <c r="K9" s="13">
        <v>2594664039</v>
      </c>
      <c r="L9" s="13">
        <v>2205464432.8299999</v>
      </c>
      <c r="M9" s="152"/>
      <c r="N9" s="35">
        <v>6</v>
      </c>
      <c r="O9" s="38" t="s">
        <v>68</v>
      </c>
      <c r="P9" s="12">
        <v>170</v>
      </c>
      <c r="Q9" s="13">
        <v>1955527000</v>
      </c>
      <c r="R9" s="13">
        <v>1641027950</v>
      </c>
      <c r="S9" s="152"/>
      <c r="T9" s="12">
        <f t="shared" si="0"/>
        <v>679</v>
      </c>
      <c r="U9" s="13">
        <f t="shared" si="1"/>
        <v>5092502123</v>
      </c>
      <c r="V9" s="13">
        <f t="shared" si="2"/>
        <v>4302322052.5299997</v>
      </c>
    </row>
    <row r="10" spans="2:22" ht="13.5" customHeight="1" x14ac:dyDescent="0.25">
      <c r="B10" s="35">
        <v>7</v>
      </c>
      <c r="C10" s="37" t="s">
        <v>69</v>
      </c>
      <c r="D10" s="12">
        <v>34</v>
      </c>
      <c r="E10" s="13">
        <v>156700697</v>
      </c>
      <c r="F10" s="13">
        <v>133195592.45</v>
      </c>
      <c r="H10" s="35">
        <v>7</v>
      </c>
      <c r="I10" s="37" t="s">
        <v>69</v>
      </c>
      <c r="J10" s="12">
        <v>75</v>
      </c>
      <c r="K10" s="13">
        <v>453868278</v>
      </c>
      <c r="L10" s="13">
        <v>385788035.94999999</v>
      </c>
      <c r="M10" s="152"/>
      <c r="N10" s="35">
        <v>7</v>
      </c>
      <c r="O10" s="37" t="s">
        <v>69</v>
      </c>
      <c r="P10" s="12">
        <v>31</v>
      </c>
      <c r="Q10" s="13">
        <v>294219000</v>
      </c>
      <c r="R10" s="13">
        <v>250086150</v>
      </c>
      <c r="S10" s="152"/>
      <c r="T10" s="12">
        <f t="shared" si="0"/>
        <v>140</v>
      </c>
      <c r="U10" s="13">
        <f t="shared" si="1"/>
        <v>904787975</v>
      </c>
      <c r="V10" s="13">
        <f t="shared" si="2"/>
        <v>769069778.39999998</v>
      </c>
    </row>
    <row r="11" spans="2:22" ht="13.5" customHeight="1" x14ac:dyDescent="0.25">
      <c r="B11" s="35">
        <v>8</v>
      </c>
      <c r="C11" s="37" t="s">
        <v>70</v>
      </c>
      <c r="D11" s="12">
        <v>106</v>
      </c>
      <c r="E11" s="13">
        <v>706024000</v>
      </c>
      <c r="F11" s="13">
        <v>600120400</v>
      </c>
      <c r="H11" s="35">
        <v>8</v>
      </c>
      <c r="I11" s="37" t="s">
        <v>70</v>
      </c>
      <c r="J11" s="12">
        <v>301</v>
      </c>
      <c r="K11" s="13">
        <v>2465879043</v>
      </c>
      <c r="L11" s="13">
        <v>2083911652.23</v>
      </c>
      <c r="M11" s="152"/>
      <c r="N11" s="35">
        <v>8</v>
      </c>
      <c r="O11" s="37" t="s">
        <v>124</v>
      </c>
      <c r="P11" s="12"/>
      <c r="Q11" s="13"/>
      <c r="R11" s="13"/>
      <c r="S11" s="152"/>
      <c r="T11" s="12">
        <f t="shared" ref="T11:T20" si="3">D11+J11+P12</f>
        <v>556</v>
      </c>
      <c r="U11" s="13">
        <f t="shared" ref="U11:U20" si="4">E11+K11+Q12</f>
        <v>4683734043</v>
      </c>
      <c r="V11" s="13">
        <f t="shared" ref="V11:V20" si="5">F11+L11+R12</f>
        <v>3964713402.23</v>
      </c>
    </row>
    <row r="12" spans="2:22" ht="13.5" customHeight="1" x14ac:dyDescent="0.25">
      <c r="B12" s="35">
        <v>9</v>
      </c>
      <c r="C12" s="1" t="s">
        <v>71</v>
      </c>
      <c r="D12" s="12">
        <v>67</v>
      </c>
      <c r="E12" s="13">
        <v>359588334</v>
      </c>
      <c r="F12" s="13">
        <v>305650084.19999999</v>
      </c>
      <c r="H12" s="35">
        <v>9</v>
      </c>
      <c r="I12" s="1" t="s">
        <v>71</v>
      </c>
      <c r="J12" s="12">
        <v>179</v>
      </c>
      <c r="K12" s="13">
        <v>1011377059</v>
      </c>
      <c r="L12" s="13">
        <v>859670500.64999998</v>
      </c>
      <c r="M12" s="152"/>
      <c r="N12" s="35">
        <v>9</v>
      </c>
      <c r="O12" s="37" t="s">
        <v>70</v>
      </c>
      <c r="P12" s="12">
        <v>149</v>
      </c>
      <c r="Q12" s="13">
        <v>1511831000</v>
      </c>
      <c r="R12" s="13">
        <v>1280681350</v>
      </c>
      <c r="S12" s="152"/>
      <c r="T12" s="12">
        <f t="shared" si="3"/>
        <v>316</v>
      </c>
      <c r="U12" s="13">
        <f t="shared" si="4"/>
        <v>2125303393</v>
      </c>
      <c r="V12" s="13">
        <f t="shared" si="5"/>
        <v>1806507884.8499999</v>
      </c>
    </row>
    <row r="13" spans="2:22" ht="13.5" customHeight="1" x14ac:dyDescent="0.25">
      <c r="B13" s="35">
        <v>10</v>
      </c>
      <c r="C13" s="37" t="s">
        <v>72</v>
      </c>
      <c r="D13" s="12">
        <v>109</v>
      </c>
      <c r="E13" s="13">
        <v>912064366</v>
      </c>
      <c r="F13" s="13">
        <v>768242211.25</v>
      </c>
      <c r="H13" s="35">
        <v>10</v>
      </c>
      <c r="I13" s="37" t="s">
        <v>72</v>
      </c>
      <c r="J13" s="12">
        <v>385</v>
      </c>
      <c r="K13" s="13">
        <v>3125555428</v>
      </c>
      <c r="L13" s="13">
        <v>2642191908.04</v>
      </c>
      <c r="M13" s="152"/>
      <c r="N13" s="35">
        <v>10</v>
      </c>
      <c r="O13" s="1" t="s">
        <v>71</v>
      </c>
      <c r="P13" s="12">
        <v>70</v>
      </c>
      <c r="Q13" s="13">
        <v>754338000</v>
      </c>
      <c r="R13" s="13">
        <v>641187300</v>
      </c>
      <c r="S13" s="152"/>
      <c r="T13" s="12">
        <f t="shared" si="3"/>
        <v>649</v>
      </c>
      <c r="U13" s="13">
        <f t="shared" si="4"/>
        <v>5719622494</v>
      </c>
      <c r="V13" s="13">
        <f t="shared" si="5"/>
        <v>4840136414.29</v>
      </c>
    </row>
    <row r="14" spans="2:22" ht="13.5" customHeight="1" x14ac:dyDescent="0.25">
      <c r="B14" s="35">
        <v>11</v>
      </c>
      <c r="C14" s="37" t="s">
        <v>73</v>
      </c>
      <c r="D14" s="12">
        <v>39</v>
      </c>
      <c r="E14" s="13">
        <v>279143825</v>
      </c>
      <c r="F14" s="13">
        <v>235572251.25</v>
      </c>
      <c r="H14" s="35">
        <v>11</v>
      </c>
      <c r="I14" s="37" t="s">
        <v>73</v>
      </c>
      <c r="J14" s="12">
        <v>98</v>
      </c>
      <c r="K14" s="13">
        <v>783310917</v>
      </c>
      <c r="L14" s="13">
        <v>665789279.45000005</v>
      </c>
      <c r="M14" s="152"/>
      <c r="N14" s="35">
        <v>11</v>
      </c>
      <c r="O14" s="37" t="s">
        <v>72</v>
      </c>
      <c r="P14" s="12">
        <v>155</v>
      </c>
      <c r="Q14" s="13">
        <v>1682002700</v>
      </c>
      <c r="R14" s="13">
        <v>1429702295</v>
      </c>
      <c r="S14" s="152"/>
      <c r="T14" s="12">
        <f t="shared" si="3"/>
        <v>210</v>
      </c>
      <c r="U14" s="13">
        <f t="shared" si="4"/>
        <v>1796211742</v>
      </c>
      <c r="V14" s="13">
        <f t="shared" si="5"/>
        <v>1525054980.7</v>
      </c>
    </row>
    <row r="15" spans="2:22" ht="13.5" customHeight="1" x14ac:dyDescent="0.25">
      <c r="B15" s="35">
        <v>12</v>
      </c>
      <c r="C15" s="37" t="s">
        <v>74</v>
      </c>
      <c r="D15" s="12">
        <v>31</v>
      </c>
      <c r="E15" s="13">
        <v>278162034</v>
      </c>
      <c r="F15" s="13">
        <v>236437728.90000001</v>
      </c>
      <c r="H15" s="35">
        <v>12</v>
      </c>
      <c r="I15" s="37" t="s">
        <v>74</v>
      </c>
      <c r="J15" s="12">
        <v>79</v>
      </c>
      <c r="K15" s="13">
        <v>726851098</v>
      </c>
      <c r="L15" s="13">
        <v>603953833.39999998</v>
      </c>
      <c r="M15" s="152"/>
      <c r="N15" s="35">
        <v>12</v>
      </c>
      <c r="O15" s="37" t="s">
        <v>73</v>
      </c>
      <c r="P15" s="12">
        <v>73</v>
      </c>
      <c r="Q15" s="13">
        <v>733757000</v>
      </c>
      <c r="R15" s="13">
        <v>623693450</v>
      </c>
      <c r="S15" s="152"/>
      <c r="T15" s="12">
        <f t="shared" si="3"/>
        <v>149</v>
      </c>
      <c r="U15" s="13">
        <f t="shared" si="4"/>
        <v>1428931132</v>
      </c>
      <c r="V15" s="13">
        <f t="shared" si="5"/>
        <v>1200721862.3</v>
      </c>
    </row>
    <row r="16" spans="2:22" ht="13.5" customHeight="1" x14ac:dyDescent="0.25">
      <c r="B16" s="35">
        <v>13</v>
      </c>
      <c r="C16" s="37" t="s">
        <v>75</v>
      </c>
      <c r="D16" s="12">
        <v>13</v>
      </c>
      <c r="E16" s="13">
        <v>101760000</v>
      </c>
      <c r="F16" s="13">
        <v>86496000</v>
      </c>
      <c r="H16" s="35">
        <v>13</v>
      </c>
      <c r="I16" s="37" t="s">
        <v>75</v>
      </c>
      <c r="J16" s="12">
        <v>50</v>
      </c>
      <c r="K16" s="13">
        <v>298126268</v>
      </c>
      <c r="L16" s="13">
        <v>253407327.80000001</v>
      </c>
      <c r="M16" s="152"/>
      <c r="N16" s="35">
        <v>13</v>
      </c>
      <c r="O16" s="37" t="s">
        <v>74</v>
      </c>
      <c r="P16" s="12">
        <v>39</v>
      </c>
      <c r="Q16" s="13">
        <v>423918000</v>
      </c>
      <c r="R16" s="13">
        <v>360330300</v>
      </c>
      <c r="S16" s="152"/>
      <c r="T16" s="12">
        <f t="shared" si="3"/>
        <v>108</v>
      </c>
      <c r="U16" s="13">
        <f t="shared" si="4"/>
        <v>943008268</v>
      </c>
      <c r="V16" s="13">
        <f t="shared" si="5"/>
        <v>801557027.79999995</v>
      </c>
    </row>
    <row r="17" spans="2:22" ht="13.5" customHeight="1" x14ac:dyDescent="0.25">
      <c r="B17" s="35">
        <v>14</v>
      </c>
      <c r="C17" s="37" t="s">
        <v>76</v>
      </c>
      <c r="D17" s="12">
        <v>355</v>
      </c>
      <c r="E17" s="13">
        <v>1944325714</v>
      </c>
      <c r="F17" s="13">
        <v>1652676857.45</v>
      </c>
      <c r="H17" s="35">
        <v>14</v>
      </c>
      <c r="I17" s="37" t="s">
        <v>76</v>
      </c>
      <c r="J17" s="12">
        <v>1283</v>
      </c>
      <c r="K17" s="13">
        <v>6953567271</v>
      </c>
      <c r="L17" s="13">
        <v>5904309200.0599995</v>
      </c>
      <c r="M17" s="152"/>
      <c r="N17" s="35">
        <v>14</v>
      </c>
      <c r="O17" s="37" t="s">
        <v>75</v>
      </c>
      <c r="P17" s="12">
        <v>45</v>
      </c>
      <c r="Q17" s="13">
        <v>543122000</v>
      </c>
      <c r="R17" s="13">
        <v>461653700</v>
      </c>
      <c r="S17" s="152"/>
      <c r="T17" s="12">
        <f>D17+J17+P18</f>
        <v>2017</v>
      </c>
      <c r="U17" s="13">
        <f t="shared" si="4"/>
        <v>11668079985</v>
      </c>
      <c r="V17" s="13">
        <f t="shared" si="5"/>
        <v>9911645007.5099983</v>
      </c>
    </row>
    <row r="18" spans="2:22" ht="13.5" customHeight="1" x14ac:dyDescent="0.25">
      <c r="B18" s="35">
        <v>15</v>
      </c>
      <c r="C18" s="37" t="s">
        <v>64</v>
      </c>
      <c r="D18" s="12">
        <v>15</v>
      </c>
      <c r="E18" s="13">
        <v>122219000</v>
      </c>
      <c r="F18" s="13">
        <v>103886150</v>
      </c>
      <c r="H18" s="35">
        <v>15</v>
      </c>
      <c r="I18" s="37" t="s">
        <v>64</v>
      </c>
      <c r="J18" s="12">
        <v>28</v>
      </c>
      <c r="K18" s="13">
        <v>226477000</v>
      </c>
      <c r="L18" s="13">
        <v>193142950</v>
      </c>
      <c r="M18" s="152"/>
      <c r="N18" s="35">
        <v>15</v>
      </c>
      <c r="O18" s="37" t="s">
        <v>76</v>
      </c>
      <c r="P18" s="12">
        <v>379</v>
      </c>
      <c r="Q18" s="13">
        <v>2770187000</v>
      </c>
      <c r="R18" s="13">
        <v>2354658950</v>
      </c>
      <c r="S18" s="152"/>
      <c r="T18" s="12">
        <f>D18+J18+P19</f>
        <v>54</v>
      </c>
      <c r="U18" s="13">
        <f t="shared" si="4"/>
        <v>447851000</v>
      </c>
      <c r="V18" s="13">
        <f t="shared" si="5"/>
        <v>381310850</v>
      </c>
    </row>
    <row r="19" spans="2:22" ht="13.5" customHeight="1" x14ac:dyDescent="0.25">
      <c r="B19" s="35">
        <v>16</v>
      </c>
      <c r="C19" s="37" t="s">
        <v>82</v>
      </c>
      <c r="D19" s="12">
        <v>1</v>
      </c>
      <c r="E19" s="13">
        <v>5000000</v>
      </c>
      <c r="F19" s="13">
        <v>4250000</v>
      </c>
      <c r="H19" s="35">
        <v>16</v>
      </c>
      <c r="I19" s="37" t="s">
        <v>82</v>
      </c>
      <c r="J19" s="12">
        <v>1</v>
      </c>
      <c r="K19" s="13">
        <v>4488000</v>
      </c>
      <c r="L19" s="13">
        <v>3814800</v>
      </c>
      <c r="M19" s="152"/>
      <c r="N19" s="35">
        <v>16</v>
      </c>
      <c r="O19" s="37" t="s">
        <v>64</v>
      </c>
      <c r="P19" s="12">
        <v>11</v>
      </c>
      <c r="Q19" s="13">
        <v>99155000</v>
      </c>
      <c r="R19" s="13">
        <v>84281750</v>
      </c>
      <c r="S19" s="152"/>
      <c r="T19" s="12">
        <f t="shared" si="3"/>
        <v>3</v>
      </c>
      <c r="U19" s="13">
        <f t="shared" si="4"/>
        <v>14488000</v>
      </c>
      <c r="V19" s="13">
        <f t="shared" si="5"/>
        <v>12314800</v>
      </c>
    </row>
    <row r="20" spans="2:22" ht="13.5" customHeight="1" x14ac:dyDescent="0.25">
      <c r="B20" s="134"/>
      <c r="C20" s="135" t="s">
        <v>18</v>
      </c>
      <c r="D20" s="108">
        <f>SUM(D4:D19)</f>
        <v>3749</v>
      </c>
      <c r="E20" s="109">
        <f>SUM(E4:E19)</f>
        <v>20333808443</v>
      </c>
      <c r="F20" s="109">
        <f>SUM(F4:F19)</f>
        <v>17268567591.990005</v>
      </c>
      <c r="H20" s="35">
        <v>17</v>
      </c>
      <c r="I20" s="37" t="s">
        <v>85</v>
      </c>
      <c r="J20" s="12">
        <v>3</v>
      </c>
      <c r="K20" s="13">
        <v>11500000</v>
      </c>
      <c r="L20" s="13">
        <v>9775000</v>
      </c>
      <c r="M20" s="156"/>
      <c r="N20" s="35">
        <v>17</v>
      </c>
      <c r="O20" s="37" t="s">
        <v>82</v>
      </c>
      <c r="P20" s="12">
        <v>1</v>
      </c>
      <c r="Q20" s="13">
        <v>5000000</v>
      </c>
      <c r="R20" s="13">
        <v>4250000</v>
      </c>
      <c r="S20" s="156"/>
      <c r="T20" s="12">
        <f t="shared" si="3"/>
        <v>3752</v>
      </c>
      <c r="U20" s="13">
        <f t="shared" si="4"/>
        <v>20345308443</v>
      </c>
      <c r="V20" s="13">
        <f t="shared" si="5"/>
        <v>17278342591.990005</v>
      </c>
    </row>
    <row r="21" spans="2:22" ht="13.5" customHeight="1" x14ac:dyDescent="0.25">
      <c r="B21" s="214"/>
      <c r="C21" s="215"/>
      <c r="D21" s="216"/>
      <c r="E21" s="217"/>
      <c r="F21" s="217"/>
      <c r="H21" s="35"/>
      <c r="I21" s="37"/>
      <c r="J21" s="12"/>
      <c r="K21" s="13"/>
      <c r="L21" s="13"/>
      <c r="M21" s="156"/>
      <c r="N21" s="35">
        <v>18</v>
      </c>
      <c r="O21" s="37" t="s">
        <v>85</v>
      </c>
      <c r="P21" s="12"/>
      <c r="Q21" s="13"/>
      <c r="R21" s="13"/>
      <c r="S21" s="156"/>
      <c r="T21" s="12"/>
      <c r="U21" s="13"/>
      <c r="V21" s="13"/>
    </row>
    <row r="22" spans="2:22" ht="13.5" customHeight="1" x14ac:dyDescent="0.25">
      <c r="E22" s="143"/>
      <c r="F22" s="143"/>
      <c r="H22" s="134"/>
      <c r="I22" s="135" t="s">
        <v>18</v>
      </c>
      <c r="J22" s="108">
        <f>SUM(J4:J20)</f>
        <v>13488</v>
      </c>
      <c r="K22" s="109">
        <f>SUM(K4:K20)</f>
        <v>75344149994.859985</v>
      </c>
      <c r="L22" s="109">
        <f>SUM(L4:L20)</f>
        <v>63873114160.609978</v>
      </c>
      <c r="M22" s="153"/>
      <c r="N22" s="35">
        <v>19</v>
      </c>
      <c r="O22" s="37" t="s">
        <v>112</v>
      </c>
      <c r="P22" s="12"/>
      <c r="Q22" s="13"/>
      <c r="R22" s="13"/>
      <c r="S22" s="153"/>
      <c r="T22" s="108">
        <f>SUM(T4:T20)</f>
        <v>24568</v>
      </c>
      <c r="U22" s="109">
        <f>SUM(U4:U20)</f>
        <v>146811852073.85999</v>
      </c>
      <c r="V22" s="109">
        <f>SUM(V4:V20)</f>
        <v>124526264153.58995</v>
      </c>
    </row>
    <row r="23" spans="2:22" ht="13.5" customHeight="1" x14ac:dyDescent="0.25">
      <c r="K23" s="138"/>
      <c r="L23" s="138"/>
      <c r="M23" s="154"/>
      <c r="N23" s="134"/>
      <c r="O23" s="135" t="s">
        <v>18</v>
      </c>
      <c r="P23" s="108">
        <f>SUM(P4:P22)</f>
        <v>3582</v>
      </c>
      <c r="Q23" s="109">
        <f>SUM(Q4:Q22)</f>
        <v>30800085193</v>
      </c>
      <c r="R23" s="109">
        <f>SUM(R4:R22)</f>
        <v>26116014809</v>
      </c>
      <c r="S23" s="154"/>
    </row>
    <row r="24" spans="2:22" ht="13.5" customHeight="1" x14ac:dyDescent="0.25">
      <c r="K24" s="149" t="s">
        <v>83</v>
      </c>
      <c r="L24" s="149" t="s">
        <v>83</v>
      </c>
      <c r="N24" s="154"/>
      <c r="O24" s="154"/>
      <c r="P24" s="154"/>
      <c r="Q24" s="154"/>
      <c r="R24" s="154"/>
    </row>
    <row r="27" spans="2:22" ht="13.5" customHeight="1" x14ac:dyDescent="0.25">
      <c r="K27" t="s">
        <v>83</v>
      </c>
      <c r="L27" t="s">
        <v>83</v>
      </c>
    </row>
    <row r="28" spans="2:22" ht="13.5" customHeight="1" x14ac:dyDescent="0.25">
      <c r="K28" t="s">
        <v>83</v>
      </c>
      <c r="T28" t="s">
        <v>83</v>
      </c>
    </row>
    <row r="29" spans="2:22" ht="13.5" customHeight="1" x14ac:dyDescent="0.25">
      <c r="L29" t="s">
        <v>83</v>
      </c>
      <c r="M29" s="155" t="s">
        <v>86</v>
      </c>
    </row>
    <row r="30" spans="2:22" ht="13.5" customHeight="1" x14ac:dyDescent="0.25">
      <c r="I30" t="s">
        <v>83</v>
      </c>
      <c r="J30" t="s">
        <v>83</v>
      </c>
      <c r="K30" t="s">
        <v>83</v>
      </c>
      <c r="O30" s="155" t="s">
        <v>83</v>
      </c>
    </row>
    <row r="31" spans="2:22" ht="13.5" customHeight="1" x14ac:dyDescent="0.25">
      <c r="L31" t="s">
        <v>83</v>
      </c>
    </row>
  </sheetData>
  <autoFilter ref="B3:F3">
    <sortState ref="B4:F21">
      <sortCondition ref="D3"/>
    </sortState>
  </autoFilter>
  <sortState ref="C4:F20">
    <sortCondition descending="1" ref="D4:D20"/>
  </sortState>
  <mergeCells count="4">
    <mergeCell ref="C2:F2"/>
    <mergeCell ref="I2:L2"/>
    <mergeCell ref="T2:V2"/>
    <mergeCell ref="O2:R2"/>
  </mergeCells>
  <pageMargins left="0.7" right="0.7" top="0.75" bottom="0.75" header="0.3" footer="0.3"/>
  <pageSetup paperSize="9" scale="4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8"/>
  <sheetViews>
    <sheetView zoomScale="90" zoomScaleNormal="90" workbookViewId="0">
      <selection activeCell="B5" sqref="B5"/>
    </sheetView>
  </sheetViews>
  <sheetFormatPr defaultColWidth="9.140625" defaultRowHeight="15" x14ac:dyDescent="0.25"/>
  <cols>
    <col min="1" max="1" width="19.5703125" style="29" customWidth="1"/>
    <col min="2" max="2" width="12.28515625" style="29" customWidth="1"/>
    <col min="3" max="3" width="30.28515625" style="29" customWidth="1"/>
    <col min="4" max="4" width="32.85546875" style="29" customWidth="1"/>
    <col min="5" max="10" width="9.140625" style="29"/>
    <col min="11" max="11" width="11.42578125" style="29" customWidth="1"/>
    <col min="12" max="15" width="9.140625" style="29"/>
    <col min="16" max="16" width="14.28515625" style="29" bestFit="1" customWidth="1"/>
    <col min="17" max="16384" width="9.140625" style="29"/>
  </cols>
  <sheetData>
    <row r="1" spans="1:4" ht="21" customHeight="1" x14ac:dyDescent="0.25">
      <c r="A1" s="139"/>
      <c r="B1" s="254" t="s">
        <v>148</v>
      </c>
      <c r="C1" s="254"/>
      <c r="D1" s="254"/>
    </row>
    <row r="2" spans="1:4" x14ac:dyDescent="0.25">
      <c r="A2" s="140" t="s">
        <v>79</v>
      </c>
      <c r="B2" s="140" t="s">
        <v>111</v>
      </c>
      <c r="C2" s="140" t="s">
        <v>80</v>
      </c>
      <c r="D2" s="140" t="s">
        <v>81</v>
      </c>
    </row>
    <row r="3" spans="1:4" x14ac:dyDescent="0.25">
      <c r="A3" s="1" t="s">
        <v>77</v>
      </c>
      <c r="B3" s="1">
        <v>2328</v>
      </c>
      <c r="C3" s="2">
        <v>18926078600</v>
      </c>
      <c r="D3" s="2">
        <v>16061740810</v>
      </c>
    </row>
    <row r="4" spans="1:4" x14ac:dyDescent="0.25">
      <c r="A4" s="1" t="s">
        <v>78</v>
      </c>
      <c r="B4" s="1">
        <v>1254</v>
      </c>
      <c r="C4" s="2">
        <v>11874006593</v>
      </c>
      <c r="D4" s="2">
        <v>10054273999</v>
      </c>
    </row>
    <row r="5" spans="1:4" x14ac:dyDescent="0.25">
      <c r="A5" s="141" t="s">
        <v>18</v>
      </c>
      <c r="B5" s="140">
        <f>SUM(B3:B4)</f>
        <v>3582</v>
      </c>
      <c r="C5" s="142">
        <f>SUM(C3:C4)</f>
        <v>30800085193</v>
      </c>
      <c r="D5" s="142">
        <f>SUM(D3:D4)</f>
        <v>26116014809</v>
      </c>
    </row>
    <row r="6" spans="1:4" x14ac:dyDescent="0.25">
      <c r="C6" s="34"/>
      <c r="D6" s="34"/>
    </row>
    <row r="10" spans="1:4" x14ac:dyDescent="0.25">
      <c r="B10" s="29" t="s">
        <v>83</v>
      </c>
    </row>
    <row r="12" spans="1:4" x14ac:dyDescent="0.25">
      <c r="C12" s="29" t="s">
        <v>83</v>
      </c>
    </row>
    <row r="15" spans="1:4" ht="21.75" customHeight="1" x14ac:dyDescent="0.25"/>
    <row r="17" spans="11:16" ht="15.75" x14ac:dyDescent="0.25">
      <c r="P17" s="181"/>
    </row>
    <row r="18" spans="11:16" x14ac:dyDescent="0.25">
      <c r="K18" s="180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35" sqref="E35"/>
    </sheetView>
  </sheetViews>
  <sheetFormatPr defaultRowHeight="15" x14ac:dyDescent="0.25"/>
  <cols>
    <col min="1" max="1" width="3.140625" bestFit="1" customWidth="1"/>
    <col min="2" max="2" width="31.7109375" bestFit="1" customWidth="1"/>
    <col min="3" max="3" width="8.140625" bestFit="1" customWidth="1"/>
    <col min="4" max="4" width="24" customWidth="1"/>
    <col min="5" max="5" width="23" customWidth="1"/>
    <col min="6" max="6" width="22" bestFit="1" customWidth="1"/>
    <col min="7" max="7" width="20.7109375" bestFit="1" customWidth="1"/>
    <col min="8" max="8" width="19.42578125" customWidth="1"/>
    <col min="9" max="9" width="9.5703125" bestFit="1" customWidth="1"/>
  </cols>
  <sheetData>
    <row r="1" spans="1:9" ht="69" customHeight="1" x14ac:dyDescent="0.25">
      <c r="A1" s="250" t="s">
        <v>129</v>
      </c>
      <c r="B1" s="250"/>
      <c r="C1" s="250"/>
      <c r="D1" s="250"/>
      <c r="E1" s="250"/>
      <c r="F1" s="250"/>
      <c r="G1" s="250"/>
      <c r="H1" s="250"/>
      <c r="I1" s="250"/>
    </row>
    <row r="2" spans="1:9" ht="28.5" x14ac:dyDescent="0.25">
      <c r="A2" s="93" t="s">
        <v>0</v>
      </c>
      <c r="B2" s="93" t="s">
        <v>39</v>
      </c>
      <c r="C2" s="93" t="s">
        <v>16</v>
      </c>
      <c r="D2" s="94" t="s">
        <v>42</v>
      </c>
      <c r="E2" s="94" t="s">
        <v>43</v>
      </c>
      <c r="F2" s="94" t="s">
        <v>120</v>
      </c>
      <c r="G2" s="94" t="s">
        <v>121</v>
      </c>
      <c r="H2" s="94" t="s">
        <v>122</v>
      </c>
      <c r="I2" s="94" t="s">
        <v>123</v>
      </c>
    </row>
    <row r="3" spans="1:9" x14ac:dyDescent="0.25">
      <c r="A3" s="35">
        <v>1</v>
      </c>
      <c r="B3" s="3" t="s">
        <v>8</v>
      </c>
      <c r="C3" s="12">
        <v>7230</v>
      </c>
      <c r="D3" s="13">
        <v>52706915988</v>
      </c>
      <c r="E3" s="13">
        <v>44790030042.040009</v>
      </c>
      <c r="F3" s="13">
        <f>45000000000-Потенциал!E3</f>
        <v>209969957.95999146</v>
      </c>
      <c r="G3" s="13">
        <f>F3*20%</f>
        <v>41993991.591998294</v>
      </c>
      <c r="H3" s="13">
        <f>E3/C3*20%</f>
        <v>1239004.9804160444</v>
      </c>
      <c r="I3" s="43">
        <f>G3/H3</f>
        <v>33.893319442426431</v>
      </c>
    </row>
    <row r="4" spans="1:9" x14ac:dyDescent="0.25">
      <c r="A4" s="35">
        <v>2</v>
      </c>
      <c r="B4" s="3" t="s">
        <v>5</v>
      </c>
      <c r="C4" s="12">
        <v>9168</v>
      </c>
      <c r="D4" s="13">
        <v>58787774843</v>
      </c>
      <c r="E4" s="13">
        <v>49501992005.699997</v>
      </c>
      <c r="F4" s="13">
        <f>50000000000-Потенциал!E4</f>
        <v>498007994.30000305</v>
      </c>
      <c r="G4" s="13">
        <f t="shared" ref="G4:G8" si="0">F4*20%</f>
        <v>99601598.86000061</v>
      </c>
      <c r="H4" s="13">
        <f t="shared" ref="H4:H9" si="1">E4/C4*20%</f>
        <v>1079886.3875589005</v>
      </c>
      <c r="I4" s="43">
        <f t="shared" ref="I4:I7" si="2">G4/H4</f>
        <v>92.233405298451373</v>
      </c>
    </row>
    <row r="5" spans="1:9" x14ac:dyDescent="0.25">
      <c r="A5" s="35">
        <v>3</v>
      </c>
      <c r="B5" s="3" t="s">
        <v>37</v>
      </c>
      <c r="C5" s="12">
        <v>841</v>
      </c>
      <c r="D5" s="13">
        <v>12135433894</v>
      </c>
      <c r="E5" s="13">
        <v>9762925508.8999996</v>
      </c>
      <c r="F5" s="13">
        <f>9845000000-Потенциал!E5</f>
        <v>82074491.100000381</v>
      </c>
      <c r="G5" s="13">
        <f t="shared" si="0"/>
        <v>16414898.220000077</v>
      </c>
      <c r="H5" s="13">
        <f t="shared" si="1"/>
        <v>2321742.0948632578</v>
      </c>
      <c r="I5" s="43">
        <f t="shared" si="2"/>
        <v>7.0700782211414639</v>
      </c>
    </row>
    <row r="6" spans="1:9" x14ac:dyDescent="0.25">
      <c r="A6" s="35">
        <v>4</v>
      </c>
      <c r="B6" s="3" t="s">
        <v>47</v>
      </c>
      <c r="C6" s="12">
        <v>267</v>
      </c>
      <c r="D6" s="13">
        <v>3435671000</v>
      </c>
      <c r="E6" s="13">
        <v>2893159200</v>
      </c>
      <c r="F6" s="13">
        <f>2500000000-Потенциал!E6</f>
        <v>-393159200</v>
      </c>
      <c r="G6" s="13">
        <f t="shared" si="0"/>
        <v>-78631840</v>
      </c>
      <c r="H6" s="13">
        <f t="shared" si="1"/>
        <v>2167160.4494382027</v>
      </c>
      <c r="I6" s="43">
        <f t="shared" si="2"/>
        <v>-36.283349495596362</v>
      </c>
    </row>
    <row r="7" spans="1:9" x14ac:dyDescent="0.25">
      <c r="A7" s="35">
        <v>5</v>
      </c>
      <c r="B7" s="3" t="s">
        <v>7</v>
      </c>
      <c r="C7" s="12">
        <v>245</v>
      </c>
      <c r="D7" s="13">
        <v>1808529841</v>
      </c>
      <c r="E7" s="13">
        <v>1537070365.25</v>
      </c>
      <c r="F7" s="13">
        <f>2500000000-Потенциал!E7</f>
        <v>962929634.75</v>
      </c>
      <c r="G7" s="13">
        <f t="shared" si="0"/>
        <v>192585926.95000002</v>
      </c>
      <c r="H7" s="13">
        <f t="shared" si="1"/>
        <v>1254751.3185714285</v>
      </c>
      <c r="I7" s="43">
        <f t="shared" si="2"/>
        <v>153.48533538045194</v>
      </c>
    </row>
    <row r="8" spans="1:9" x14ac:dyDescent="0.25">
      <c r="A8" s="35">
        <v>6</v>
      </c>
      <c r="B8" s="3" t="s">
        <v>9</v>
      </c>
      <c r="C8" s="12">
        <v>66</v>
      </c>
      <c r="D8" s="13">
        <v>921924400</v>
      </c>
      <c r="E8" s="13">
        <v>676208677</v>
      </c>
      <c r="F8" s="13">
        <f>1500000000-Потенциал!E8</f>
        <v>823791323</v>
      </c>
      <c r="G8" s="13">
        <f t="shared" si="0"/>
        <v>164758264.60000002</v>
      </c>
      <c r="H8" s="13">
        <f t="shared" si="1"/>
        <v>2049117.2030303031</v>
      </c>
      <c r="I8" s="43">
        <f>G8/H8</f>
        <v>80.404509979395016</v>
      </c>
    </row>
    <row r="9" spans="1:9" x14ac:dyDescent="0.25">
      <c r="A9" s="248" t="s">
        <v>18</v>
      </c>
      <c r="B9" s="249"/>
      <c r="C9" s="108">
        <f>SUM(C3:C8)</f>
        <v>17817</v>
      </c>
      <c r="D9" s="223">
        <f>SUM(D3:D8)</f>
        <v>129796249966</v>
      </c>
      <c r="E9" s="223">
        <f>SUM(E3:E8)</f>
        <v>109161385798.89</v>
      </c>
      <c r="F9" s="109">
        <f>SUM(F3:F8)</f>
        <v>2183614201.1099949</v>
      </c>
      <c r="G9" s="109">
        <f>F9*20%</f>
        <v>436722840.22199899</v>
      </c>
      <c r="H9" s="109">
        <f t="shared" si="1"/>
        <v>1225362.1350271089</v>
      </c>
      <c r="I9" s="222">
        <f>G9/H9</f>
        <v>356.40308096539746</v>
      </c>
    </row>
  </sheetData>
  <mergeCells count="2">
    <mergeCell ref="A1:I1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ПСИГ_2020</vt:lpstr>
      <vt:lpstr>ПСИГ_2021</vt:lpstr>
      <vt:lpstr>ПСИГ_2022</vt:lpstr>
      <vt:lpstr>ПСИГ_2023</vt:lpstr>
      <vt:lpstr>ИТОГО 20-21-22-23гг. </vt:lpstr>
      <vt:lpstr>Цель кредита </vt:lpstr>
      <vt:lpstr>Подписанные ДГ по отраслям</vt:lpstr>
      <vt:lpstr>Тип субьекта</vt:lpstr>
      <vt:lpstr>Потенциал</vt:lpstr>
      <vt:lpstr>Просрочка на 01.03.2023</vt:lpstr>
      <vt:lpstr>ПСИГ_2020!Область_печати</vt:lpstr>
      <vt:lpstr>'Цель кредита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Данияр Ердосович Илипбаев</cp:lastModifiedBy>
  <cp:lastPrinted>2021-01-05T11:45:35Z</cp:lastPrinted>
  <dcterms:created xsi:type="dcterms:W3CDTF">2020-10-27T03:30:43Z</dcterms:created>
  <dcterms:modified xsi:type="dcterms:W3CDTF">2023-06-22T07:52:17Z</dcterms:modified>
</cp:coreProperties>
</file>